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onathan.friedmann\AppData\Local\Microsoft\Windows\INetCache\Content.Outlook\AZ9A8OJU\"/>
    </mc:Choice>
  </mc:AlternateContent>
  <xr:revisionPtr revIDLastSave="0" documentId="13_ncr:1_{540F0B8B-920E-4668-B8EC-7B555A813176}" xr6:coauthVersionLast="47" xr6:coauthVersionMax="47" xr10:uidLastSave="{00000000-0000-0000-0000-000000000000}"/>
  <bookViews>
    <workbookView xWindow="28680" yWindow="-120" windowWidth="29040" windowHeight="15840" activeTab="2" xr2:uid="{631A154B-7065-4352-9FC6-594A9BE4422F}"/>
  </bookViews>
  <sheets>
    <sheet name="Variables" sheetId="1" r:id="rId1"/>
    <sheet name="Gain productible Journalier" sheetId="2" r:id="rId2"/>
    <sheet name="Gain productible Mensuel" sheetId="4" r:id="rId3"/>
    <sheet name="Photos centrales" sheetId="3" r:id="rId4"/>
    <sheet name="Théorique vs Expérimental" sheetId="5" r:id="rId5"/>
  </sheets>
  <externalReferences>
    <externalReference r:id="rId6"/>
  </externalReferences>
  <definedNames>
    <definedName name="Eff_mod">[1]Param!$B$10</definedName>
    <definedName name="PRAC">Variables!$E$11</definedName>
    <definedName name="PRBE">Variables!$C$11</definedName>
    <definedName name="PRD">Variables!#REF!</definedName>
    <definedName name="PRDAC">Variables!#REF!</definedName>
    <definedName name="PRDEPI">Variables!$B$11</definedName>
    <definedName name="SAC">Variables!$E$12</definedName>
    <definedName name="SB">Variables!$C$12</definedName>
    <definedName name="SE">Variables!$B$12</definedName>
    <definedName name="SP">Variables!$D$12</definedName>
    <definedName name="SPE">Variables!$D$11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0" i="4" l="1"/>
  <c r="C17" i="5"/>
  <c r="Q29" i="5" s="1"/>
  <c r="G17" i="5"/>
  <c r="Q33" i="5" s="1"/>
  <c r="Q44" i="5"/>
  <c r="D27" i="5"/>
  <c r="D26" i="5"/>
  <c r="D24" i="5"/>
  <c r="P16" i="5"/>
  <c r="N19" i="5" s="1"/>
  <c r="A48" i="5"/>
  <c r="A40" i="5"/>
  <c r="A55" i="5" s="1"/>
  <c r="A39" i="5"/>
  <c r="A54" i="5" s="1"/>
  <c r="A38" i="5"/>
  <c r="A53" i="5" s="1"/>
  <c r="A37" i="5"/>
  <c r="A52" i="5" s="1"/>
  <c r="A36" i="5"/>
  <c r="A51" i="5" s="1"/>
  <c r="A35" i="5"/>
  <c r="A50" i="5" s="1"/>
  <c r="A34" i="5"/>
  <c r="A49" i="5" s="1"/>
  <c r="A32" i="5"/>
  <c r="A47" i="5" s="1"/>
  <c r="A31" i="5"/>
  <c r="A46" i="5" s="1"/>
  <c r="A30" i="5"/>
  <c r="A45" i="5" s="1"/>
  <c r="A29" i="5"/>
  <c r="A44" i="5" s="1"/>
  <c r="N17" i="5"/>
  <c r="Q40" i="5" s="1"/>
  <c r="M17" i="5"/>
  <c r="Q39" i="5" s="1"/>
  <c r="L17" i="5"/>
  <c r="Q38" i="5" s="1"/>
  <c r="K17" i="5"/>
  <c r="Q37" i="5" s="1"/>
  <c r="J17" i="5"/>
  <c r="Q36" i="5" s="1"/>
  <c r="I17" i="5"/>
  <c r="Q35" i="5" s="1"/>
  <c r="H17" i="5"/>
  <c r="Q34" i="5" s="1"/>
  <c r="F17" i="5"/>
  <c r="Q32" i="5" s="1"/>
  <c r="E17" i="5"/>
  <c r="Q31" i="5" s="1"/>
  <c r="D17" i="5"/>
  <c r="Q30" i="5" s="1"/>
  <c r="Q45" i="5"/>
  <c r="Q46" i="5"/>
  <c r="Q47" i="5"/>
  <c r="Q48" i="5"/>
  <c r="Q49" i="5"/>
  <c r="Q50" i="5"/>
  <c r="Q51" i="5"/>
  <c r="Q52" i="5"/>
  <c r="Q53" i="5"/>
  <c r="Q54" i="5"/>
  <c r="Q55" i="5"/>
  <c r="K19" i="5" l="1"/>
  <c r="J19" i="5"/>
  <c r="F26" i="5"/>
  <c r="I19" i="5"/>
  <c r="H19" i="5"/>
  <c r="G19" i="5"/>
  <c r="F19" i="5"/>
  <c r="C19" i="5"/>
  <c r="M19" i="5"/>
  <c r="E19" i="5"/>
  <c r="L19" i="5"/>
  <c r="D19" i="5"/>
  <c r="I2" i="4"/>
  <c r="N62" i="2"/>
  <c r="O62" i="2"/>
  <c r="P62" i="2"/>
  <c r="Q62" i="2"/>
  <c r="N63" i="2"/>
  <c r="O63" i="2"/>
  <c r="P63" i="2"/>
  <c r="Q63" i="2"/>
  <c r="N64" i="2"/>
  <c r="O64" i="2"/>
  <c r="P64" i="2"/>
  <c r="Q64" i="2"/>
  <c r="N65" i="2"/>
  <c r="O65" i="2"/>
  <c r="P65" i="2"/>
  <c r="Q65" i="2"/>
  <c r="N66" i="2"/>
  <c r="O66" i="2"/>
  <c r="P66" i="2"/>
  <c r="Q66" i="2"/>
  <c r="N67" i="2"/>
  <c r="O67" i="2"/>
  <c r="P67" i="2"/>
  <c r="Q67" i="2"/>
  <c r="N68" i="2"/>
  <c r="O68" i="2"/>
  <c r="P68" i="2"/>
  <c r="Q68" i="2"/>
  <c r="N69" i="2"/>
  <c r="O69" i="2"/>
  <c r="P69" i="2"/>
  <c r="Q69" i="2"/>
  <c r="N70" i="2"/>
  <c r="O70" i="2"/>
  <c r="P70" i="2"/>
  <c r="Q70" i="2"/>
  <c r="N71" i="2"/>
  <c r="O71" i="2"/>
  <c r="P71" i="2"/>
  <c r="Q71" i="2"/>
  <c r="N72" i="2"/>
  <c r="O72" i="2"/>
  <c r="P72" i="2"/>
  <c r="Q72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" i="2"/>
  <c r="P5" i="2"/>
  <c r="P4" i="2"/>
  <c r="P3" i="2"/>
  <c r="O3" i="2"/>
  <c r="E9" i="1"/>
  <c r="E11" i="1" s="1"/>
  <c r="N47" i="2"/>
  <c r="O47" i="2"/>
  <c r="Q47" i="2"/>
  <c r="N48" i="2"/>
  <c r="O48" i="2"/>
  <c r="Q48" i="2"/>
  <c r="N49" i="2"/>
  <c r="O49" i="2"/>
  <c r="Q49" i="2"/>
  <c r="N50" i="2"/>
  <c r="O50" i="2"/>
  <c r="Q50" i="2"/>
  <c r="N51" i="2"/>
  <c r="O51" i="2"/>
  <c r="Q51" i="2"/>
  <c r="N52" i="2"/>
  <c r="O52" i="2"/>
  <c r="Q52" i="2"/>
  <c r="N53" i="2"/>
  <c r="O53" i="2"/>
  <c r="Q53" i="2"/>
  <c r="N54" i="2"/>
  <c r="O54" i="2"/>
  <c r="Q54" i="2"/>
  <c r="N55" i="2"/>
  <c r="O55" i="2"/>
  <c r="Q55" i="2"/>
  <c r="N56" i="2"/>
  <c r="O56" i="2"/>
  <c r="Q56" i="2"/>
  <c r="N57" i="2"/>
  <c r="O57" i="2"/>
  <c r="Q57" i="2"/>
  <c r="N58" i="2"/>
  <c r="O58" i="2"/>
  <c r="Q58" i="2"/>
  <c r="N59" i="2"/>
  <c r="O59" i="2"/>
  <c r="Q59" i="2"/>
  <c r="N60" i="2"/>
  <c r="O60" i="2"/>
  <c r="Q60" i="2"/>
  <c r="N61" i="2"/>
  <c r="O61" i="2"/>
  <c r="Q61" i="2"/>
  <c r="N39" i="2"/>
  <c r="O39" i="2"/>
  <c r="Q39" i="2"/>
  <c r="N40" i="2"/>
  <c r="O40" i="2"/>
  <c r="Q40" i="2"/>
  <c r="N41" i="2"/>
  <c r="O41" i="2"/>
  <c r="Q41" i="2"/>
  <c r="N42" i="2"/>
  <c r="O42" i="2"/>
  <c r="Q42" i="2"/>
  <c r="N43" i="2"/>
  <c r="O43" i="2"/>
  <c r="Q43" i="2"/>
  <c r="N44" i="2"/>
  <c r="O44" i="2"/>
  <c r="Q44" i="2"/>
  <c r="N45" i="2"/>
  <c r="O45" i="2"/>
  <c r="Q45" i="2"/>
  <c r="N46" i="2"/>
  <c r="O46" i="2"/>
  <c r="Q46" i="2"/>
  <c r="N37" i="2"/>
  <c r="O37" i="2"/>
  <c r="Q37" i="2"/>
  <c r="N38" i="2"/>
  <c r="O38" i="2"/>
  <c r="Q38" i="2"/>
  <c r="Q28" i="2"/>
  <c r="Q29" i="2"/>
  <c r="Q30" i="2"/>
  <c r="Q31" i="2"/>
  <c r="Q32" i="2"/>
  <c r="Q33" i="2"/>
  <c r="Q34" i="2"/>
  <c r="Q35" i="2"/>
  <c r="Q36" i="2"/>
  <c r="O28" i="2"/>
  <c r="O29" i="2"/>
  <c r="O30" i="2"/>
  <c r="O31" i="2"/>
  <c r="O32" i="2"/>
  <c r="O33" i="2"/>
  <c r="O34" i="2"/>
  <c r="O35" i="2"/>
  <c r="O36" i="2"/>
  <c r="N30" i="2"/>
  <c r="N31" i="2"/>
  <c r="N32" i="2"/>
  <c r="N33" i="2"/>
  <c r="N34" i="2"/>
  <c r="N35" i="2"/>
  <c r="N36" i="2"/>
  <c r="N29" i="2"/>
  <c r="N28" i="2"/>
  <c r="N27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6" i="2"/>
  <c r="Q5" i="2"/>
  <c r="Q4" i="2"/>
  <c r="Q3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6" i="2"/>
  <c r="O5" i="2"/>
  <c r="O4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6" i="2"/>
  <c r="N5" i="2"/>
  <c r="N4" i="2"/>
  <c r="N3" i="2"/>
  <c r="D9" i="1"/>
  <c r="D11" i="1" s="1"/>
  <c r="C9" i="1"/>
  <c r="C11" i="1" s="1"/>
  <c r="I3" i="4" s="1"/>
  <c r="B9" i="1"/>
  <c r="B11" i="1" s="1"/>
  <c r="E2" i="2"/>
  <c r="I2" i="2"/>
  <c r="I5" i="4" l="1"/>
  <c r="T5" i="4" s="1"/>
  <c r="I13" i="4"/>
  <c r="I6" i="4"/>
  <c r="T6" i="4" s="1"/>
  <c r="I7" i="4"/>
  <c r="T7" i="4" s="1"/>
  <c r="I8" i="4"/>
  <c r="T8" i="4" s="1"/>
  <c r="I9" i="4"/>
  <c r="T9" i="4" s="1"/>
  <c r="I10" i="4"/>
  <c r="T10" i="4" s="1"/>
  <c r="I11" i="4"/>
  <c r="T11" i="4" s="1"/>
  <c r="I12" i="4"/>
  <c r="I14" i="4"/>
  <c r="T14" i="4" s="1"/>
  <c r="T3" i="4"/>
  <c r="I4" i="4"/>
  <c r="T4" i="4" s="1"/>
  <c r="H5" i="4"/>
  <c r="L5" i="4" s="1"/>
  <c r="H13" i="4"/>
  <c r="L13" i="4" s="1"/>
  <c r="H7" i="4"/>
  <c r="L7" i="4" s="1"/>
  <c r="H9" i="4"/>
  <c r="L9" i="4" s="1"/>
  <c r="H6" i="4"/>
  <c r="L6" i="4" s="1"/>
  <c r="H14" i="4"/>
  <c r="L14" i="4" s="1"/>
  <c r="H11" i="4"/>
  <c r="L11" i="4" s="1"/>
  <c r="H8" i="4"/>
  <c r="L8" i="4" s="1"/>
  <c r="H10" i="4"/>
  <c r="L10" i="4" s="1"/>
  <c r="H12" i="4"/>
  <c r="L12" i="4" s="1"/>
  <c r="H3" i="4"/>
  <c r="L3" i="4" s="1"/>
  <c r="H4" i="4"/>
  <c r="L4" i="4" s="1"/>
  <c r="T12" i="4"/>
  <c r="T13" i="4"/>
  <c r="H3" i="2"/>
  <c r="L3" i="2" s="1"/>
  <c r="F3" i="2"/>
  <c r="J3" i="2" s="1"/>
  <c r="I5" i="2"/>
  <c r="G35" i="2"/>
  <c r="F69" i="2"/>
  <c r="F65" i="2"/>
  <c r="G62" i="2"/>
  <c r="H70" i="2"/>
  <c r="H66" i="2"/>
  <c r="F62" i="2"/>
  <c r="I71" i="2"/>
  <c r="G70" i="2"/>
  <c r="I67" i="2"/>
  <c r="G66" i="2"/>
  <c r="I63" i="2"/>
  <c r="H71" i="2"/>
  <c r="F70" i="2"/>
  <c r="H67" i="2"/>
  <c r="F66" i="2"/>
  <c r="H63" i="2"/>
  <c r="G71" i="2"/>
  <c r="G67" i="2"/>
  <c r="I72" i="2"/>
  <c r="I68" i="2"/>
  <c r="I64" i="2"/>
  <c r="G63" i="2"/>
  <c r="H72" i="2"/>
  <c r="F71" i="2"/>
  <c r="H68" i="2"/>
  <c r="F67" i="2"/>
  <c r="H64" i="2"/>
  <c r="F63" i="2"/>
  <c r="F72" i="2"/>
  <c r="H69" i="2"/>
  <c r="F68" i="2"/>
  <c r="H65" i="2"/>
  <c r="F64" i="2"/>
  <c r="G72" i="2"/>
  <c r="I69" i="2"/>
  <c r="G68" i="2"/>
  <c r="I65" i="2"/>
  <c r="G64" i="2"/>
  <c r="I70" i="2"/>
  <c r="G69" i="2"/>
  <c r="I66" i="2"/>
  <c r="G65" i="2"/>
  <c r="I62" i="2"/>
  <c r="H62" i="2"/>
  <c r="I3" i="2"/>
  <c r="H60" i="2"/>
  <c r="H38" i="2"/>
  <c r="H12" i="2"/>
  <c r="H52" i="2"/>
  <c r="H30" i="2"/>
  <c r="H57" i="2"/>
  <c r="H36" i="2"/>
  <c r="H9" i="2"/>
  <c r="H49" i="2"/>
  <c r="H28" i="2"/>
  <c r="H25" i="2"/>
  <c r="H44" i="2"/>
  <c r="H20" i="2"/>
  <c r="H46" i="2"/>
  <c r="H5" i="2"/>
  <c r="H41" i="2"/>
  <c r="H17" i="2"/>
  <c r="H54" i="2"/>
  <c r="H33" i="2"/>
  <c r="H22" i="2"/>
  <c r="H14" i="2"/>
  <c r="H61" i="2"/>
  <c r="H53" i="2"/>
  <c r="H45" i="2"/>
  <c r="H37" i="2"/>
  <c r="H29" i="2"/>
  <c r="H21" i="2"/>
  <c r="H13" i="2"/>
  <c r="H59" i="2"/>
  <c r="H51" i="2"/>
  <c r="H43" i="2"/>
  <c r="H35" i="2"/>
  <c r="H27" i="2"/>
  <c r="H19" i="2"/>
  <c r="H11" i="2"/>
  <c r="H58" i="2"/>
  <c r="H50" i="2"/>
  <c r="H42" i="2"/>
  <c r="H34" i="2"/>
  <c r="H26" i="2"/>
  <c r="H18" i="2"/>
  <c r="H10" i="2"/>
  <c r="H56" i="2"/>
  <c r="H48" i="2"/>
  <c r="H40" i="2"/>
  <c r="H32" i="2"/>
  <c r="H24" i="2"/>
  <c r="H16" i="2"/>
  <c r="H8" i="2"/>
  <c r="H55" i="2"/>
  <c r="H47" i="2"/>
  <c r="H39" i="2"/>
  <c r="H31" i="2"/>
  <c r="H23" i="2"/>
  <c r="H15" i="2"/>
  <c r="H7" i="2"/>
  <c r="H6" i="2"/>
  <c r="H4" i="2"/>
  <c r="G58" i="2"/>
  <c r="F60" i="2"/>
  <c r="G57" i="2"/>
  <c r="I54" i="2"/>
  <c r="F52" i="2"/>
  <c r="G49" i="2"/>
  <c r="G53" i="2"/>
  <c r="I50" i="2"/>
  <c r="I60" i="2"/>
  <c r="F58" i="2"/>
  <c r="G55" i="2"/>
  <c r="I59" i="2"/>
  <c r="F57" i="2"/>
  <c r="G54" i="2"/>
  <c r="I51" i="2"/>
  <c r="F49" i="2"/>
  <c r="I58" i="2"/>
  <c r="F48" i="2"/>
  <c r="F61" i="2"/>
  <c r="I55" i="2"/>
  <c r="F53" i="2"/>
  <c r="G59" i="2"/>
  <c r="I56" i="2"/>
  <c r="F54" i="2"/>
  <c r="G51" i="2"/>
  <c r="I48" i="2"/>
  <c r="I61" i="2"/>
  <c r="F59" i="2"/>
  <c r="G56" i="2"/>
  <c r="I53" i="2"/>
  <c r="F51" i="2"/>
  <c r="G48" i="2"/>
  <c r="I47" i="2"/>
  <c r="G61" i="2"/>
  <c r="F56" i="2"/>
  <c r="G50" i="2"/>
  <c r="G47" i="2"/>
  <c r="I52" i="2"/>
  <c r="F50" i="2"/>
  <c r="G60" i="2"/>
  <c r="I57" i="2"/>
  <c r="F55" i="2"/>
  <c r="G52" i="2"/>
  <c r="I49" i="2"/>
  <c r="F47" i="2"/>
  <c r="F41" i="2"/>
  <c r="G44" i="2"/>
  <c r="G40" i="2"/>
  <c r="F46" i="2"/>
  <c r="G45" i="2"/>
  <c r="F45" i="2"/>
  <c r="F44" i="2"/>
  <c r="F40" i="2"/>
  <c r="G46" i="2"/>
  <c r="G42" i="2"/>
  <c r="F42" i="2"/>
  <c r="G41" i="2"/>
  <c r="G43" i="2"/>
  <c r="G39" i="2"/>
  <c r="F43" i="2"/>
  <c r="F39" i="2"/>
  <c r="I46" i="2"/>
  <c r="I45" i="2"/>
  <c r="I43" i="2"/>
  <c r="I44" i="2"/>
  <c r="I42" i="2"/>
  <c r="I41" i="2"/>
  <c r="I40" i="2"/>
  <c r="I39" i="2"/>
  <c r="I38" i="2"/>
  <c r="G38" i="2"/>
  <c r="I37" i="2"/>
  <c r="F38" i="2"/>
  <c r="G37" i="2"/>
  <c r="F37" i="2"/>
  <c r="G36" i="2"/>
  <c r="G34" i="2"/>
  <c r="G28" i="2"/>
  <c r="G33" i="2"/>
  <c r="G32" i="2"/>
  <c r="G31" i="2"/>
  <c r="F31" i="2"/>
  <c r="F35" i="2"/>
  <c r="F34" i="2"/>
  <c r="I36" i="2"/>
  <c r="I32" i="2"/>
  <c r="F36" i="2"/>
  <c r="I33" i="2"/>
  <c r="F32" i="2"/>
  <c r="I35" i="2"/>
  <c r="I34" i="2"/>
  <c r="F33" i="2"/>
  <c r="I31" i="2"/>
  <c r="G3" i="2"/>
  <c r="G15" i="2"/>
  <c r="I7" i="2"/>
  <c r="G27" i="2"/>
  <c r="G22" i="2"/>
  <c r="G26" i="2"/>
  <c r="G19" i="2"/>
  <c r="G20" i="2"/>
  <c r="G21" i="2"/>
  <c r="G23" i="2"/>
  <c r="G24" i="2"/>
  <c r="G25" i="2"/>
  <c r="G11" i="2"/>
  <c r="G12" i="2"/>
  <c r="G13" i="2"/>
  <c r="G14" i="2"/>
  <c r="G16" i="2"/>
  <c r="G17" i="2"/>
  <c r="G18" i="2"/>
  <c r="G5" i="2"/>
  <c r="G7" i="2"/>
  <c r="G8" i="2"/>
  <c r="G9" i="2"/>
  <c r="G10" i="2"/>
  <c r="G6" i="2"/>
  <c r="G4" i="2"/>
  <c r="I27" i="2"/>
  <c r="I26" i="2"/>
  <c r="I24" i="2"/>
  <c r="I25" i="2"/>
  <c r="I23" i="2"/>
  <c r="I22" i="2"/>
  <c r="I29" i="2"/>
  <c r="I21" i="2"/>
  <c r="I30" i="2"/>
  <c r="I28" i="2"/>
  <c r="I20" i="2"/>
  <c r="F21" i="2"/>
  <c r="F28" i="2"/>
  <c r="F27" i="2"/>
  <c r="F25" i="2"/>
  <c r="F24" i="2"/>
  <c r="F23" i="2"/>
  <c r="F30" i="2"/>
  <c r="F22" i="2"/>
  <c r="F26" i="2"/>
  <c r="F29" i="2"/>
  <c r="F20" i="2"/>
  <c r="I19" i="2"/>
  <c r="F19" i="2"/>
  <c r="I18" i="2"/>
  <c r="F18" i="2"/>
  <c r="F17" i="2"/>
  <c r="I15" i="2"/>
  <c r="F15" i="2"/>
  <c r="F16" i="2"/>
  <c r="I16" i="2"/>
  <c r="I17" i="2"/>
  <c r="F14" i="2"/>
  <c r="I14" i="2"/>
  <c r="F13" i="2"/>
  <c r="I13" i="2"/>
  <c r="I12" i="2"/>
  <c r="F12" i="2"/>
  <c r="F11" i="2"/>
  <c r="I11" i="2"/>
  <c r="F5" i="2"/>
  <c r="F10" i="2"/>
  <c r="I10" i="2"/>
  <c r="F8" i="2"/>
  <c r="I8" i="2"/>
  <c r="F9" i="2"/>
  <c r="I9" i="2"/>
  <c r="F7" i="2"/>
  <c r="I4" i="2"/>
  <c r="I6" i="2"/>
  <c r="F4" i="2"/>
  <c r="F6" i="2"/>
  <c r="M6" i="4" l="1"/>
  <c r="Q6" i="4" s="1"/>
  <c r="M10" i="4"/>
  <c r="Q10" i="4" s="1"/>
  <c r="M8" i="4"/>
  <c r="Q8" i="4" s="1"/>
  <c r="M13" i="4"/>
  <c r="Q13" i="4" s="1"/>
  <c r="M11" i="4"/>
  <c r="Q11" i="4" s="1"/>
  <c r="M5" i="4"/>
  <c r="Q5" i="4" s="1"/>
  <c r="M9" i="4"/>
  <c r="Q9" i="4" s="1"/>
  <c r="M12" i="4"/>
  <c r="Q12" i="4" s="1"/>
  <c r="M7" i="4"/>
  <c r="Q7" i="4" s="1"/>
  <c r="M4" i="4"/>
  <c r="Q4" i="4" s="1"/>
  <c r="M14" i="4"/>
  <c r="Q14" i="4" s="1"/>
  <c r="M3" i="4"/>
  <c r="Q3" i="4" s="1"/>
  <c r="I17" i="4"/>
  <c r="H17" i="4"/>
  <c r="P14" i="4"/>
  <c r="R29" i="5" s="1"/>
  <c r="P11" i="4"/>
  <c r="R38" i="5" s="1"/>
  <c r="P12" i="4"/>
  <c r="R39" i="5" s="1"/>
  <c r="P6" i="4"/>
  <c r="R33" i="5" s="1"/>
  <c r="P9" i="4"/>
  <c r="R36" i="5" s="1"/>
  <c r="P4" i="4"/>
  <c r="R31" i="5" s="1"/>
  <c r="P10" i="4"/>
  <c r="R37" i="5" s="1"/>
  <c r="P7" i="4"/>
  <c r="R34" i="5" s="1"/>
  <c r="P8" i="4"/>
  <c r="R35" i="5" s="1"/>
  <c r="P5" i="4"/>
  <c r="R32" i="5" s="1"/>
  <c r="P13" i="4"/>
  <c r="R40" i="5" s="1"/>
  <c r="P3" i="4"/>
  <c r="N14" i="4"/>
  <c r="N13" i="4"/>
  <c r="N12" i="4"/>
  <c r="N11" i="4"/>
  <c r="N9" i="4"/>
  <c r="N10" i="4"/>
  <c r="N8" i="4"/>
  <c r="N5" i="4"/>
  <c r="N4" i="4"/>
  <c r="N3" i="4"/>
  <c r="J3" i="4"/>
  <c r="J4" i="4" s="1"/>
  <c r="N7" i="4"/>
  <c r="N6" i="4"/>
  <c r="L4" i="2"/>
  <c r="L5" i="2" s="1"/>
  <c r="L6" i="2" s="1"/>
  <c r="L7" i="2" s="1"/>
  <c r="L8" i="2" s="1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R3" i="2"/>
  <c r="J4" i="2"/>
  <c r="J5" i="2" s="1"/>
  <c r="J6" i="2" s="1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K3" i="4"/>
  <c r="R13" i="2"/>
  <c r="R48" i="2"/>
  <c r="R15" i="2"/>
  <c r="R14" i="2"/>
  <c r="R71" i="2"/>
  <c r="R63" i="2"/>
  <c r="R67" i="2"/>
  <c r="R72" i="2"/>
  <c r="R64" i="2"/>
  <c r="R62" i="2"/>
  <c r="R65" i="2"/>
  <c r="R68" i="2"/>
  <c r="R69" i="2"/>
  <c r="R66" i="2"/>
  <c r="R70" i="2"/>
  <c r="R39" i="2"/>
  <c r="R61" i="2"/>
  <c r="R52" i="2"/>
  <c r="R53" i="2"/>
  <c r="R44" i="2"/>
  <c r="R58" i="2"/>
  <c r="R60" i="2"/>
  <c r="R37" i="2"/>
  <c r="R45" i="2"/>
  <c r="R57" i="2"/>
  <c r="R47" i="2"/>
  <c r="R43" i="2"/>
  <c r="R50" i="2"/>
  <c r="R33" i="2"/>
  <c r="R56" i="2"/>
  <c r="R40" i="2"/>
  <c r="R49" i="2"/>
  <c r="R55" i="2"/>
  <c r="R59" i="2"/>
  <c r="R54" i="2"/>
  <c r="R51" i="2"/>
  <c r="R38" i="2"/>
  <c r="R41" i="2"/>
  <c r="R46" i="2"/>
  <c r="R36" i="2"/>
  <c r="R35" i="2"/>
  <c r="R42" i="2"/>
  <c r="R34" i="2"/>
  <c r="R32" i="2"/>
  <c r="R31" i="2"/>
  <c r="R28" i="2"/>
  <c r="R9" i="2"/>
  <c r="R16" i="2"/>
  <c r="R21" i="2"/>
  <c r="R22" i="2"/>
  <c r="R26" i="2"/>
  <c r="R18" i="2"/>
  <c r="R27" i="2"/>
  <c r="R7" i="2"/>
  <c r="R11" i="2"/>
  <c r="R17" i="2"/>
  <c r="R8" i="2"/>
  <c r="R12" i="2"/>
  <c r="R23" i="2"/>
  <c r="R19" i="2"/>
  <c r="R25" i="2"/>
  <c r="R10" i="2"/>
  <c r="R20" i="2"/>
  <c r="R24" i="2"/>
  <c r="R5" i="2"/>
  <c r="R6" i="2"/>
  <c r="R4" i="2"/>
  <c r="M3" i="2"/>
  <c r="S3" i="2" s="1"/>
  <c r="K3" i="2"/>
  <c r="R29" i="2"/>
  <c r="R30" i="2"/>
  <c r="R45" i="5" l="1"/>
  <c r="R30" i="5"/>
  <c r="L21" i="5"/>
  <c r="K21" i="5"/>
  <c r="R47" i="5"/>
  <c r="R46" i="5"/>
  <c r="O3" i="4"/>
  <c r="J5" i="4"/>
  <c r="J6" i="4" s="1"/>
  <c r="J7" i="4" s="1"/>
  <c r="J8" i="4" s="1"/>
  <c r="J9" i="4" s="1"/>
  <c r="J10" i="4" s="1"/>
  <c r="J11" i="4" s="1"/>
  <c r="J12" i="4" s="1"/>
  <c r="J13" i="4" s="1"/>
  <c r="J14" i="4" s="1"/>
  <c r="K4" i="4"/>
  <c r="M4" i="2"/>
  <c r="S4" i="2" s="1"/>
  <c r="K4" i="2"/>
  <c r="O4" i="4" l="1"/>
  <c r="K5" i="4"/>
  <c r="M5" i="2"/>
  <c r="S5" i="2" s="1"/>
  <c r="K5" i="2"/>
  <c r="O5" i="4" l="1"/>
  <c r="K6" i="4"/>
  <c r="M6" i="2"/>
  <c r="S6" i="2" s="1"/>
  <c r="K6" i="2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K49" i="2" s="1"/>
  <c r="K50" i="2" s="1"/>
  <c r="K51" i="2" s="1"/>
  <c r="K52" i="2" s="1"/>
  <c r="K53" i="2" s="1"/>
  <c r="K54" i="2" s="1"/>
  <c r="K55" i="2" s="1"/>
  <c r="K56" i="2" s="1"/>
  <c r="K57" i="2" s="1"/>
  <c r="K58" i="2" s="1"/>
  <c r="K59" i="2" s="1"/>
  <c r="K60" i="2" s="1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" i="4" l="1"/>
  <c r="O6" i="4"/>
  <c r="M7" i="2"/>
  <c r="S7" i="2" s="1"/>
  <c r="K8" i="4" l="1"/>
  <c r="O8" i="4" s="1"/>
  <c r="O7" i="4"/>
  <c r="M8" i="2"/>
  <c r="S8" i="2" s="1"/>
  <c r="K9" i="4" l="1"/>
  <c r="M9" i="2"/>
  <c r="S9" i="2" s="1"/>
  <c r="O9" i="4" l="1"/>
  <c r="K10" i="4"/>
  <c r="M10" i="2"/>
  <c r="S10" i="2" s="1"/>
  <c r="O10" i="4" l="1"/>
  <c r="K11" i="4"/>
  <c r="O11" i="4" s="1"/>
  <c r="M11" i="2"/>
  <c r="S11" i="2" s="1"/>
  <c r="K12" i="4" l="1"/>
  <c r="M12" i="2"/>
  <c r="S12" i="2" s="1"/>
  <c r="O12" i="4" l="1"/>
  <c r="K13" i="4"/>
  <c r="M13" i="2"/>
  <c r="S13" i="2" s="1"/>
  <c r="K14" i="4" l="1"/>
  <c r="O13" i="4"/>
  <c r="M14" i="2"/>
  <c r="S14" i="2" s="1"/>
  <c r="O14" i="4" l="1"/>
  <c r="M15" i="2"/>
  <c r="S15" i="2" s="1"/>
  <c r="M16" i="2" l="1"/>
  <c r="S16" i="2" s="1"/>
  <c r="M17" i="2" l="1"/>
  <c r="S17" i="2" s="1"/>
  <c r="M18" i="2" l="1"/>
  <c r="S18" i="2" s="1"/>
  <c r="M19" i="2" l="1"/>
  <c r="S19" i="2" s="1"/>
  <c r="M20" i="2" l="1"/>
  <c r="S20" i="2" s="1"/>
  <c r="M21" i="2" l="1"/>
  <c r="S21" i="2" s="1"/>
  <c r="M22" i="2" l="1"/>
  <c r="S22" i="2" s="1"/>
  <c r="M23" i="2" l="1"/>
  <c r="S23" i="2" s="1"/>
  <c r="M24" i="2" l="1"/>
  <c r="S24" i="2" s="1"/>
  <c r="M25" i="2" l="1"/>
  <c r="S25" i="2" s="1"/>
  <c r="M26" i="2" l="1"/>
  <c r="S26" i="2" s="1"/>
  <c r="M27" i="2" l="1"/>
  <c r="S27" i="2" s="1"/>
  <c r="M28" i="2" l="1"/>
  <c r="S28" i="2" s="1"/>
  <c r="M29" i="2" l="1"/>
  <c r="S29" i="2" s="1"/>
  <c r="M30" i="2" l="1"/>
  <c r="S30" i="2" s="1"/>
  <c r="M31" i="2" l="1"/>
  <c r="S31" i="2" s="1"/>
  <c r="M32" i="2" l="1"/>
  <c r="S32" i="2" s="1"/>
  <c r="M33" i="2" l="1"/>
  <c r="S33" i="2" s="1"/>
  <c r="M34" i="2" l="1"/>
  <c r="S34" i="2" s="1"/>
  <c r="M35" i="2" l="1"/>
  <c r="S35" i="2" s="1"/>
  <c r="M36" i="2" l="1"/>
  <c r="S36" i="2" s="1"/>
  <c r="M37" i="2" l="1"/>
  <c r="S37" i="2" s="1"/>
  <c r="M38" i="2" l="1"/>
  <c r="S38" i="2" s="1"/>
  <c r="M39" i="2" l="1"/>
  <c r="S39" i="2" s="1"/>
  <c r="M40" i="2" l="1"/>
  <c r="S40" i="2" s="1"/>
  <c r="M41" i="2" l="1"/>
  <c r="S41" i="2" s="1"/>
  <c r="M42" i="2" l="1"/>
  <c r="S42" i="2" s="1"/>
  <c r="M43" i="2" l="1"/>
  <c r="S43" i="2" s="1"/>
  <c r="M44" i="2" l="1"/>
  <c r="S44" i="2" s="1"/>
  <c r="M45" i="2" l="1"/>
  <c r="S45" i="2" s="1"/>
  <c r="M46" i="2" l="1"/>
  <c r="S46" i="2" s="1"/>
  <c r="M47" i="2" l="1"/>
  <c r="S47" i="2" s="1"/>
  <c r="M48" i="2" l="1"/>
  <c r="S48" i="2" s="1"/>
  <c r="M49" i="2" l="1"/>
  <c r="S49" i="2" s="1"/>
  <c r="M50" i="2" l="1"/>
  <c r="S50" i="2" s="1"/>
  <c r="M51" i="2" l="1"/>
  <c r="S51" i="2" s="1"/>
  <c r="M52" i="2" l="1"/>
  <c r="S52" i="2" s="1"/>
  <c r="M53" i="2" l="1"/>
  <c r="S53" i="2" s="1"/>
  <c r="M54" i="2" l="1"/>
  <c r="S54" i="2" s="1"/>
  <c r="M55" i="2" l="1"/>
  <c r="S55" i="2" s="1"/>
  <c r="M56" i="2" l="1"/>
  <c r="S56" i="2" s="1"/>
  <c r="M57" i="2" l="1"/>
  <c r="S57" i="2" s="1"/>
  <c r="M58" i="2" l="1"/>
  <c r="S58" i="2" s="1"/>
  <c r="M59" i="2" l="1"/>
  <c r="S59" i="2" s="1"/>
  <c r="M60" i="2" l="1"/>
  <c r="S60" i="2" s="1"/>
  <c r="M61" i="2" l="1"/>
  <c r="S61" i="2" s="1"/>
  <c r="M62" i="2" l="1"/>
  <c r="S62" i="2" s="1"/>
  <c r="M63" i="2" l="1"/>
  <c r="S63" i="2" s="1"/>
  <c r="M64" i="2" l="1"/>
  <c r="S64" i="2" s="1"/>
  <c r="M65" i="2" l="1"/>
  <c r="S65" i="2" s="1"/>
  <c r="M66" i="2" l="1"/>
  <c r="S66" i="2" s="1"/>
  <c r="M67" i="2" l="1"/>
  <c r="S67" i="2" s="1"/>
  <c r="M68" i="2" l="1"/>
  <c r="S68" i="2" s="1"/>
  <c r="M69" i="2" l="1"/>
  <c r="M70" i="2" s="1"/>
  <c r="S69" i="2" l="1"/>
  <c r="S70" i="2"/>
  <c r="M71" i="2"/>
  <c r="S71" i="2" l="1"/>
  <c r="M72" i="2"/>
  <c r="S72" i="2" l="1"/>
</calcChain>
</file>

<file path=xl/sharedStrings.xml><?xml version="1.0" encoding="utf-8"?>
<sst xmlns="http://schemas.openxmlformats.org/spreadsheetml/2006/main" count="230" uniqueCount="112">
  <si>
    <t>Centrale</t>
  </si>
  <si>
    <t>Puissance nominale [kWc]</t>
  </si>
  <si>
    <t>BELIGHT</t>
  </si>
  <si>
    <t>Inclinaison toiture</t>
  </si>
  <si>
    <t>Inclinaison capteurs</t>
  </si>
  <si>
    <t>Sunny Tripower 15000TL-30</t>
  </si>
  <si>
    <t>Onduleur</t>
  </si>
  <si>
    <t>Date</t>
  </si>
  <si>
    <t>Dinsheim EPI</t>
  </si>
  <si>
    <t>Capteurs</t>
  </si>
  <si>
    <t>VSPS 210</t>
  </si>
  <si>
    <t>Sunny Tripower-17000TL</t>
  </si>
  <si>
    <t>Orientation</t>
  </si>
  <si>
    <t>15° Est</t>
  </si>
  <si>
    <t>10°</t>
  </si>
  <si>
    <t>Date d'installation</t>
  </si>
  <si>
    <t xml:space="preserve">Coefficient vieillissement </t>
  </si>
  <si>
    <t>LID (%)</t>
  </si>
  <si>
    <t>Puissance réelle [kWc]</t>
  </si>
  <si>
    <t>0°</t>
  </si>
  <si>
    <t>30°</t>
  </si>
  <si>
    <t>15°</t>
  </si>
  <si>
    <t>BELIGHT 120</t>
  </si>
  <si>
    <t>Température [°C]</t>
  </si>
  <si>
    <t>Vent [km/h]</t>
  </si>
  <si>
    <t>Max.</t>
  </si>
  <si>
    <t>Min.</t>
  </si>
  <si>
    <t>Moy.</t>
  </si>
  <si>
    <t>Productible [kWh/kWc]</t>
  </si>
  <si>
    <t>Energie (kWh)</t>
  </si>
  <si>
    <t>Productible cumulé [kWh/kWc]</t>
  </si>
  <si>
    <t>Gain de productible Journalier</t>
  </si>
  <si>
    <t>[%]</t>
  </si>
  <si>
    <t>Dinsheim BELIGHT</t>
  </si>
  <si>
    <t>Observations</t>
  </si>
  <si>
    <t>neige</t>
  </si>
  <si>
    <t>neige + Coupure de courant</t>
  </si>
  <si>
    <r>
      <t>Ensoleillement moyen [W/m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]</t>
    </r>
  </si>
  <si>
    <r>
      <t>Ensoleillement max [W/m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]</t>
    </r>
  </si>
  <si>
    <t>Strub Parking erstein</t>
  </si>
  <si>
    <t>Solar edge SE27,6K</t>
  </si>
  <si>
    <t>VSMS 300</t>
  </si>
  <si>
    <t>20° Est</t>
  </si>
  <si>
    <t>Strub parking erstein</t>
  </si>
  <si>
    <t>Productible kWh/m²</t>
  </si>
  <si>
    <t>Surface centrale (m²)</t>
  </si>
  <si>
    <t>12°</t>
  </si>
  <si>
    <t>Gain de productible cumulé kwh/kwc[%]</t>
  </si>
  <si>
    <t>Be light - Dinsheim</t>
  </si>
  <si>
    <t>Coupure élec</t>
  </si>
  <si>
    <t>Dinsheim 2 AC</t>
  </si>
  <si>
    <t>Kaco 60 TL3</t>
  </si>
  <si>
    <t>VSPS 310</t>
  </si>
  <si>
    <t>Coupure Strub parking erstein</t>
  </si>
  <si>
    <t>Théorique</t>
  </si>
  <si>
    <t>Expérimental</t>
  </si>
  <si>
    <t>Interco centrale String série</t>
  </si>
  <si>
    <t>Interco centrale String parallèle</t>
  </si>
  <si>
    <t>Dualight String série</t>
  </si>
  <si>
    <t>Dualight String parallèle</t>
  </si>
  <si>
    <t>BELIGHT - Grandes cellules</t>
  </si>
  <si>
    <t>BELIGHT - Demi-cellule</t>
  </si>
  <si>
    <t>Ville</t>
  </si>
  <si>
    <t>Pente toit (°)</t>
  </si>
  <si>
    <t>Inclinaison (°)</t>
  </si>
  <si>
    <t>Efficacité module</t>
  </si>
  <si>
    <t>Coefficient de température</t>
  </si>
  <si>
    <t>Bifacialité module</t>
  </si>
  <si>
    <t>Longueur de la table (m)</t>
  </si>
  <si>
    <t>Hauteur côté bas (m)</t>
  </si>
  <si>
    <t>Espacement entre rangées (m)</t>
  </si>
  <si>
    <t>Pitch (m)</t>
  </si>
  <si>
    <t>kWc/m2</t>
  </si>
  <si>
    <t>Albédo (%)</t>
  </si>
  <si>
    <t>Productible (kWh/kWc)</t>
  </si>
  <si>
    <t>Productible (kWh/m2/an)</t>
  </si>
  <si>
    <t>Strasbourg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</si>
  <si>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</si>
  <si>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</si>
  <si>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</si>
  <si>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</si>
  <si>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</si>
  <si>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</si>
  <si>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</si>
  <si>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</si>
  <si>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</si>
  <si>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</si>
  <si>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</si>
  <si>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</si>
  <si>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Simulated</t>
  </si>
  <si>
    <t>Measured</t>
  </si>
  <si>
    <t>Gain de productible Mensuel</t>
  </si>
  <si>
    <t>Gain de productible mensuel</t>
  </si>
  <si>
    <t>Dinsheim EPI 2022</t>
  </si>
  <si>
    <t>Dinsheim EPI 2021</t>
  </si>
  <si>
    <t>Dinsheim BELIGHT 2022</t>
  </si>
  <si>
    <t>Dinsheim BELIGHT 2021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</si>
  <si>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</si>
  <si>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</si>
  <si>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</si>
  <si>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</si>
  <si>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</si>
  <si>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</si>
  <si>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</si>
  <si>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</si>
  <si>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</si>
  <si>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</si>
  <si>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</si>
  <si>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</si>
  <si>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Ecart été hiver</t>
  </si>
  <si>
    <t>Dinsheim EPI 2023</t>
  </si>
  <si>
    <t>Dinsheim BELIGHT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</si>
</sst>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%"/>
    <numFmt numFmtId="165" formatCode="0.0"/>
    <numFmt numFmtId="166" formatCode="_-* #,##0.0_-;\-* #,##0.0_-;_-* &quot;-&quot;??_-;_-@_-"/>
    <numFmt numFmtId="167" formatCode="0.0000"/>
    <numFmt numFmtId="168" formatCode="0.000%"/>
    <numFmt numFmtId="169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59999389629810485"/>
        <bgColor theme="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4">
    <xf numFmtId="0" fontId="0" fillId="0" borderId="0" xfId="0"/>
    <xf numFmtId="0" fontId="0" fillId="2" borderId="0" xfId="0" applyFill="1"/>
    <xf numFmtId="0" fontId="3" fillId="3" borderId="1" xfId="0" applyFont="1" applyFill="1" applyBorder="1" applyAlignment="1">
      <alignment horizontal="center" vertical="center"/>
    </xf>
    <xf numFmtId="0" fontId="2" fillId="5" borderId="0" xfId="0" applyFont="1" applyFill="1"/>
    <xf numFmtId="2" fontId="0" fillId="5" borderId="0" xfId="1" applyNumberFormat="1" applyFont="1" applyFill="1" applyBorder="1" applyAlignment="1">
      <alignment horizontal="center" vertical="center"/>
    </xf>
    <xf numFmtId="0" fontId="2" fillId="2" borderId="2" xfId="0" applyFont="1" applyFill="1" applyBorder="1"/>
    <xf numFmtId="0" fontId="2" fillId="5" borderId="2" xfId="0" applyFont="1" applyFill="1" applyBorder="1"/>
    <xf numFmtId="14" fontId="2" fillId="2" borderId="2" xfId="0" applyNumberFormat="1" applyFont="1" applyFill="1" applyBorder="1"/>
    <xf numFmtId="14" fontId="2" fillId="5" borderId="2" xfId="0" applyNumberFormat="1" applyFont="1" applyFill="1" applyBorder="1"/>
    <xf numFmtId="2" fontId="2" fillId="5" borderId="0" xfId="1" applyNumberFormat="1" applyFont="1" applyFill="1" applyBorder="1" applyAlignment="1">
      <alignment horizontal="center" vertical="center"/>
    </xf>
    <xf numFmtId="2" fontId="2" fillId="5" borderId="4" xfId="1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1" fontId="0" fillId="5" borderId="2" xfId="0" applyNumberFormat="1" applyFill="1" applyBorder="1" applyAlignment="1">
      <alignment horizontal="center" vertical="center"/>
    </xf>
    <xf numFmtId="164" fontId="0" fillId="5" borderId="2" xfId="2" applyNumberFormat="1" applyFont="1" applyFill="1" applyBorder="1" applyAlignment="1">
      <alignment horizontal="center" vertical="center"/>
    </xf>
    <xf numFmtId="14" fontId="0" fillId="2" borderId="2" xfId="0" applyNumberFormat="1" applyFill="1" applyBorder="1" applyAlignment="1">
      <alignment horizontal="center" vertical="center"/>
    </xf>
    <xf numFmtId="164" fontId="0" fillId="2" borderId="2" xfId="2" applyNumberFormat="1" applyFont="1" applyFill="1" applyBorder="1" applyAlignment="1">
      <alignment horizontal="center" vertical="center"/>
    </xf>
    <xf numFmtId="165" fontId="0" fillId="5" borderId="2" xfId="0" applyNumberForma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9" fontId="0" fillId="2" borderId="9" xfId="2" applyFont="1" applyFill="1" applyBorder="1" applyAlignment="1">
      <alignment horizontal="center" vertical="center"/>
    </xf>
    <xf numFmtId="9" fontId="0" fillId="5" borderId="9" xfId="2" applyFont="1" applyFill="1" applyBorder="1" applyAlignment="1">
      <alignment horizontal="center" vertical="center"/>
    </xf>
    <xf numFmtId="9" fontId="0" fillId="4" borderId="9" xfId="2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horizontal="center" vertical="center"/>
    </xf>
    <xf numFmtId="166" fontId="0" fillId="5" borderId="2" xfId="1" applyNumberFormat="1" applyFont="1" applyFill="1" applyBorder="1" applyAlignment="1">
      <alignment horizontal="center" vertical="center"/>
    </xf>
    <xf numFmtId="166" fontId="0" fillId="4" borderId="2" xfId="1" applyNumberFormat="1" applyFont="1" applyFill="1" applyBorder="1" applyAlignment="1">
      <alignment horizontal="center" vertical="center"/>
    </xf>
    <xf numFmtId="165" fontId="0" fillId="2" borderId="9" xfId="1" applyNumberFormat="1" applyFont="1" applyFill="1" applyBorder="1" applyAlignment="1">
      <alignment horizontal="center" vertical="center"/>
    </xf>
    <xf numFmtId="165" fontId="0" fillId="5" borderId="9" xfId="1" applyNumberFormat="1" applyFont="1" applyFill="1" applyBorder="1" applyAlignment="1">
      <alignment horizontal="center" vertical="center"/>
    </xf>
    <xf numFmtId="165" fontId="0" fillId="4" borderId="9" xfId="1" applyNumberFormat="1" applyFont="1" applyFill="1" applyBorder="1" applyAlignment="1">
      <alignment horizontal="center" vertical="center"/>
    </xf>
    <xf numFmtId="2" fontId="2" fillId="5" borderId="8" xfId="1" applyNumberFormat="1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43" fontId="0" fillId="2" borderId="0" xfId="0" applyNumberFormat="1" applyFill="1"/>
    <xf numFmtId="164" fontId="0" fillId="2" borderId="0" xfId="2" applyNumberFormat="1" applyFont="1" applyFill="1"/>
    <xf numFmtId="166" fontId="1" fillId="2" borderId="2" xfId="1" applyNumberFormat="1" applyFont="1" applyFill="1" applyBorder="1" applyAlignment="1">
      <alignment horizontal="center" vertical="center"/>
    </xf>
    <xf numFmtId="166" fontId="1" fillId="5" borderId="2" xfId="1" applyNumberFormat="1" applyFont="1" applyFill="1" applyBorder="1" applyAlignment="1">
      <alignment horizontal="center" vertical="center"/>
    </xf>
    <xf numFmtId="2" fontId="0" fillId="2" borderId="6" xfId="1" applyNumberFormat="1" applyFont="1" applyFill="1" applyBorder="1" applyAlignment="1">
      <alignment horizontal="center" vertical="center"/>
    </xf>
    <xf numFmtId="2" fontId="0" fillId="5" borderId="9" xfId="1" applyNumberFormat="1" applyFont="1" applyFill="1" applyBorder="1" applyAlignment="1">
      <alignment horizontal="center" vertical="center"/>
    </xf>
    <xf numFmtId="2" fontId="0" fillId="4" borderId="9" xfId="1" applyNumberFormat="1" applyFont="1" applyFill="1" applyBorder="1" applyAlignment="1">
      <alignment horizontal="center" vertical="center"/>
    </xf>
    <xf numFmtId="2" fontId="1" fillId="2" borderId="9" xfId="1" applyNumberFormat="1" applyFont="1" applyFill="1" applyBorder="1" applyAlignment="1">
      <alignment horizontal="center" vertical="center"/>
    </xf>
    <xf numFmtId="2" fontId="1" fillId="5" borderId="9" xfId="1" applyNumberFormat="1" applyFont="1" applyFill="1" applyBorder="1" applyAlignment="1">
      <alignment horizontal="center" vertical="center"/>
    </xf>
    <xf numFmtId="165" fontId="1" fillId="2" borderId="9" xfId="1" applyNumberFormat="1" applyFont="1" applyFill="1" applyBorder="1" applyAlignment="1">
      <alignment horizontal="center" vertical="center"/>
    </xf>
    <xf numFmtId="165" fontId="1" fillId="5" borderId="9" xfId="1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7" fontId="0" fillId="5" borderId="2" xfId="0" applyNumberFormat="1" applyFill="1" applyBorder="1" applyAlignment="1">
      <alignment horizontal="center" vertical="center"/>
    </xf>
    <xf numFmtId="0" fontId="2" fillId="2" borderId="12" xfId="0" applyFont="1" applyFill="1" applyBorder="1"/>
    <xf numFmtId="2" fontId="0" fillId="2" borderId="2" xfId="0" applyNumberFormat="1" applyFill="1" applyBorder="1" applyAlignment="1">
      <alignment horizontal="center" vertical="center"/>
    </xf>
    <xf numFmtId="2" fontId="0" fillId="5" borderId="2" xfId="0" applyNumberFormat="1" applyFill="1" applyBorder="1" applyAlignment="1">
      <alignment horizontal="center" vertical="center"/>
    </xf>
    <xf numFmtId="2" fontId="0" fillId="4" borderId="2" xfId="0" applyNumberFormat="1" applyFill="1" applyBorder="1" applyAlignment="1">
      <alignment horizontal="center" vertical="center"/>
    </xf>
    <xf numFmtId="165" fontId="0" fillId="2" borderId="2" xfId="2" applyNumberFormat="1" applyFont="1" applyFill="1" applyBorder="1" applyAlignment="1">
      <alignment horizontal="center" vertical="center"/>
    </xf>
    <xf numFmtId="1" fontId="0" fillId="2" borderId="2" xfId="2" applyNumberFormat="1" applyFont="1" applyFill="1" applyBorder="1" applyAlignment="1">
      <alignment horizontal="center" vertical="center"/>
    </xf>
    <xf numFmtId="2" fontId="0" fillId="2" borderId="5" xfId="1" applyNumberFormat="1" applyFont="1" applyFill="1" applyBorder="1" applyAlignment="1">
      <alignment horizontal="center"/>
    </xf>
    <xf numFmtId="2" fontId="0" fillId="5" borderId="5" xfId="1" applyNumberFormat="1" applyFont="1" applyFill="1" applyBorder="1" applyAlignment="1">
      <alignment horizontal="center"/>
    </xf>
    <xf numFmtId="2" fontId="0" fillId="2" borderId="2" xfId="1" applyNumberFormat="1" applyFont="1" applyFill="1" applyBorder="1" applyAlignment="1">
      <alignment horizontal="center" vertical="center"/>
    </xf>
    <xf numFmtId="2" fontId="0" fillId="2" borderId="5" xfId="1" applyNumberFormat="1" applyFont="1" applyFill="1" applyBorder="1" applyAlignment="1">
      <alignment horizontal="center" vertical="center"/>
    </xf>
    <xf numFmtId="2" fontId="0" fillId="5" borderId="2" xfId="1" applyNumberFormat="1" applyFont="1" applyFill="1" applyBorder="1" applyAlignment="1">
      <alignment horizontal="center" vertical="center"/>
    </xf>
    <xf numFmtId="2" fontId="0" fillId="5" borderId="5" xfId="1" applyNumberFormat="1" applyFont="1" applyFill="1" applyBorder="1" applyAlignment="1">
      <alignment horizontal="center" vertical="center"/>
    </xf>
    <xf numFmtId="2" fontId="0" fillId="4" borderId="5" xfId="1" applyNumberFormat="1" applyFont="1" applyFill="1" applyBorder="1" applyAlignment="1">
      <alignment horizontal="center" vertical="center"/>
    </xf>
    <xf numFmtId="2" fontId="0" fillId="4" borderId="2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2" fontId="2" fillId="4" borderId="0" xfId="1" applyNumberFormat="1" applyFont="1" applyFill="1" applyBorder="1" applyAlignment="1">
      <alignment horizontal="center" vertical="center"/>
    </xf>
    <xf numFmtId="2" fontId="2" fillId="4" borderId="4" xfId="1" applyNumberFormat="1" applyFont="1" applyFill="1" applyBorder="1" applyAlignment="1">
      <alignment horizontal="center" vertical="center"/>
    </xf>
    <xf numFmtId="2" fontId="2" fillId="4" borderId="8" xfId="1" applyNumberFormat="1" applyFont="1" applyFill="1" applyBorder="1" applyAlignment="1">
      <alignment horizontal="center" vertical="center"/>
    </xf>
    <xf numFmtId="14" fontId="2" fillId="4" borderId="2" xfId="0" applyNumberFormat="1" applyFont="1" applyFill="1" applyBorder="1"/>
    <xf numFmtId="14" fontId="2" fillId="7" borderId="2" xfId="0" applyNumberFormat="1" applyFont="1" applyFill="1" applyBorder="1"/>
    <xf numFmtId="0" fontId="0" fillId="7" borderId="2" xfId="0" applyFill="1" applyBorder="1" applyAlignment="1">
      <alignment horizontal="center" vertical="center"/>
    </xf>
    <xf numFmtId="2" fontId="0" fillId="7" borderId="2" xfId="1" applyNumberFormat="1" applyFont="1" applyFill="1" applyBorder="1" applyAlignment="1">
      <alignment horizontal="center" vertical="center"/>
    </xf>
    <xf numFmtId="9" fontId="0" fillId="7" borderId="9" xfId="2" applyFont="1" applyFill="1" applyBorder="1" applyAlignment="1">
      <alignment horizontal="center" vertical="center"/>
    </xf>
    <xf numFmtId="0" fontId="2" fillId="0" borderId="0" xfId="0" applyFont="1"/>
    <xf numFmtId="43" fontId="0" fillId="0" borderId="0" xfId="1" applyFont="1"/>
    <xf numFmtId="43" fontId="0" fillId="0" borderId="0" xfId="0" applyNumberFormat="1"/>
    <xf numFmtId="9" fontId="0" fillId="0" borderId="0" xfId="2" applyFont="1"/>
    <xf numFmtId="49" fontId="2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wrapText="1"/>
    </xf>
    <xf numFmtId="0" fontId="2" fillId="2" borderId="13" xfId="0" applyFont="1" applyFill="1" applyBorder="1" applyAlignment="1">
      <alignment horizontal="center" vertical="center" wrapText="1"/>
    </xf>
    <xf numFmtId="166" fontId="0" fillId="2" borderId="0" xfId="1" applyNumberFormat="1" applyFont="1" applyFill="1"/>
    <xf numFmtId="10" fontId="0" fillId="2" borderId="0" xfId="2" applyNumberFormat="1" applyFont="1" applyFill="1"/>
    <xf numFmtId="168" fontId="0" fillId="2" borderId="0" xfId="2" applyNumberFormat="1" applyFont="1" applyFill="1"/>
    <xf numFmtId="9" fontId="0" fillId="2" borderId="0" xfId="2" applyFont="1" applyFill="1"/>
    <xf numFmtId="43" fontId="0" fillId="2" borderId="0" xfId="1" applyFont="1" applyFill="1"/>
    <xf numFmtId="49" fontId="0" fillId="2" borderId="0" xfId="0" applyNumberFormat="1" applyFill="1"/>
    <xf numFmtId="169" fontId="0" fillId="2" borderId="0" xfId="1" applyNumberFormat="1" applyFont="1" applyFill="1" applyAlignment="1">
      <alignment horizontal="center" vertical="center"/>
    </xf>
    <xf numFmtId="169" fontId="0" fillId="0" borderId="0" xfId="1" applyNumberFormat="1" applyFont="1" applyAlignment="1">
      <alignment horizontal="center" vertical="center"/>
    </xf>
    <xf numFmtId="2" fontId="0" fillId="2" borderId="0" xfId="1" applyNumberFormat="1" applyFont="1" applyFill="1"/>
    <xf numFmtId="1" fontId="0" fillId="2" borderId="0" xfId="1" applyNumberFormat="1" applyFont="1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2" fillId="0" borderId="0" xfId="0" applyNumberFormat="1" applyFont="1"/>
    <xf numFmtId="10" fontId="0" fillId="0" borderId="0" xfId="2" applyNumberFormat="1" applyFont="1"/>
    <xf numFmtId="1" fontId="0" fillId="0" borderId="0" xfId="1" applyNumberFormat="1" applyFont="1"/>
    <xf numFmtId="0" fontId="0" fillId="2" borderId="2" xfId="0" applyFill="1" applyBorder="1" applyAlignment="1">
      <alignment horizontal="center"/>
    </xf>
    <xf numFmtId="14" fontId="2" fillId="2" borderId="14" xfId="0" applyNumberFormat="1" applyFont="1" applyFill="1" applyBorder="1"/>
    <xf numFmtId="9" fontId="0" fillId="0" borderId="0" xfId="1" applyNumberFormat="1" applyFont="1"/>
    <xf numFmtId="2" fontId="0" fillId="2" borderId="0" xfId="0" applyNumberFormat="1" applyFill="1"/>
    <xf numFmtId="1" fontId="0" fillId="7" borderId="2" xfId="0" applyNumberFormat="1" applyFill="1" applyBorder="1" applyAlignment="1">
      <alignment horizontal="center" vertical="center"/>
    </xf>
    <xf numFmtId="1" fontId="0" fillId="4" borderId="2" xfId="0" applyNumberForma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</cellXfs>
  <cellStyles count="3">
    <cellStyle name="Milliers" xfId="1" builtinId="3"/>
    <cellStyle name="Normal" xfId="0" builtinId="0"/>
    <cellStyle name="Pourcentage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4B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r-FR">
                <a:solidFill>
                  <a:schemeClr val="tx1"/>
                </a:solidFill>
              </a:rPr>
              <a:t>Productible</a:t>
            </a:r>
            <a:r>
              <a:rPr lang="fr-FR" baseline="0">
                <a:solidFill>
                  <a:schemeClr val="tx1"/>
                </a:solidFill>
              </a:rPr>
              <a:t> des centrales DINSHEIM</a:t>
            </a:r>
            <a:endParaRPr lang="fr-FR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2.6768921790693553E-2"/>
          <c:y val="7.1909587754918208E-2"/>
          <c:w val="0.94846664886476417"/>
          <c:h val="0.708482893808604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'Gain productible Journalier'!$F$2</c:f>
              <c:strCache>
                <c:ptCount val="1"/>
                <c:pt idx="0">
                  <c:v>Dinsheim EPI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'Gain productible Journalier'!$A$3:$A$58</c:f>
              <c:numCache>
                <c:formatCode>m/d/yyyy</c:formatCode>
                <c:ptCount val="56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44233</c:v>
                </c:pt>
                <c:pt idx="6">
                  <c:v>44234</c:v>
                </c:pt>
                <c:pt idx="7">
                  <c:v>44235</c:v>
                </c:pt>
                <c:pt idx="8">
                  <c:v>44236</c:v>
                </c:pt>
                <c:pt idx="9">
                  <c:v>44237</c:v>
                </c:pt>
                <c:pt idx="10">
                  <c:v>44238</c:v>
                </c:pt>
                <c:pt idx="11">
                  <c:v>44239</c:v>
                </c:pt>
                <c:pt idx="12">
                  <c:v>44240</c:v>
                </c:pt>
                <c:pt idx="13">
                  <c:v>44241</c:v>
                </c:pt>
                <c:pt idx="14">
                  <c:v>44242</c:v>
                </c:pt>
                <c:pt idx="15">
                  <c:v>44243</c:v>
                </c:pt>
                <c:pt idx="16">
                  <c:v>44244</c:v>
                </c:pt>
                <c:pt idx="17">
                  <c:v>44245</c:v>
                </c:pt>
                <c:pt idx="18">
                  <c:v>44246</c:v>
                </c:pt>
                <c:pt idx="19">
                  <c:v>44247</c:v>
                </c:pt>
                <c:pt idx="20">
                  <c:v>44248</c:v>
                </c:pt>
                <c:pt idx="21">
                  <c:v>44249</c:v>
                </c:pt>
                <c:pt idx="22">
                  <c:v>44250</c:v>
                </c:pt>
                <c:pt idx="23">
                  <c:v>44251</c:v>
                </c:pt>
                <c:pt idx="24">
                  <c:v>44252</c:v>
                </c:pt>
                <c:pt idx="25">
                  <c:v>44253</c:v>
                </c:pt>
                <c:pt idx="26">
                  <c:v>44254</c:v>
                </c:pt>
                <c:pt idx="27">
                  <c:v>44255</c:v>
                </c:pt>
                <c:pt idx="28">
                  <c:v>44256</c:v>
                </c:pt>
                <c:pt idx="29">
                  <c:v>44257</c:v>
                </c:pt>
                <c:pt idx="30">
                  <c:v>44258</c:v>
                </c:pt>
                <c:pt idx="31">
                  <c:v>44259</c:v>
                </c:pt>
                <c:pt idx="32">
                  <c:v>44260</c:v>
                </c:pt>
                <c:pt idx="33">
                  <c:v>44261</c:v>
                </c:pt>
                <c:pt idx="34">
                  <c:v>44262</c:v>
                </c:pt>
                <c:pt idx="35">
                  <c:v>44263</c:v>
                </c:pt>
                <c:pt idx="36">
                  <c:v>44264</c:v>
                </c:pt>
                <c:pt idx="37">
                  <c:v>44265</c:v>
                </c:pt>
                <c:pt idx="38">
                  <c:v>44266</c:v>
                </c:pt>
                <c:pt idx="39">
                  <c:v>44267</c:v>
                </c:pt>
                <c:pt idx="40">
                  <c:v>44268</c:v>
                </c:pt>
                <c:pt idx="41">
                  <c:v>44269</c:v>
                </c:pt>
                <c:pt idx="42">
                  <c:v>44270</c:v>
                </c:pt>
                <c:pt idx="43">
                  <c:v>44271</c:v>
                </c:pt>
                <c:pt idx="44">
                  <c:v>44272</c:v>
                </c:pt>
                <c:pt idx="45">
                  <c:v>44273</c:v>
                </c:pt>
                <c:pt idx="46">
                  <c:v>44274</c:v>
                </c:pt>
                <c:pt idx="47">
                  <c:v>44275</c:v>
                </c:pt>
                <c:pt idx="48">
                  <c:v>44276</c:v>
                </c:pt>
                <c:pt idx="49">
                  <c:v>44277</c:v>
                </c:pt>
                <c:pt idx="50">
                  <c:v>44278</c:v>
                </c:pt>
                <c:pt idx="51">
                  <c:v>44279</c:v>
                </c:pt>
                <c:pt idx="52">
                  <c:v>44280</c:v>
                </c:pt>
                <c:pt idx="53">
                  <c:v>44281</c:v>
                </c:pt>
                <c:pt idx="54">
                  <c:v>44282</c:v>
                </c:pt>
                <c:pt idx="55">
                  <c:v>44283</c:v>
                </c:pt>
              </c:numCache>
            </c:numRef>
          </c:cat>
          <c:val>
            <c:numRef>
              <c:f>'Gain productible Journalier'!$F$3:$F$58</c:f>
              <c:numCache>
                <c:formatCode>0.00</c:formatCode>
                <c:ptCount val="56"/>
                <c:pt idx="0">
                  <c:v>0.98383281405602652</c:v>
                </c:pt>
                <c:pt idx="1">
                  <c:v>0.86501242588500882</c:v>
                </c:pt>
                <c:pt idx="2">
                  <c:v>0.52831865322222504</c:v>
                </c:pt>
                <c:pt idx="3">
                  <c:v>1.4986491504406361</c:v>
                </c:pt>
                <c:pt idx="4">
                  <c:v>0.255571853102389</c:v>
                </c:pt>
                <c:pt idx="5">
                  <c:v>0.1497136890954823</c:v>
                </c:pt>
                <c:pt idx="6">
                  <c:v>0.61419338830946058</c:v>
                </c:pt>
                <c:pt idx="7">
                  <c:v>0.53674409892889718</c:v>
                </c:pt>
                <c:pt idx="8">
                  <c:v>0.1381557058824833</c:v>
                </c:pt>
                <c:pt idx="9">
                  <c:v>1.8687206503260057E-2</c:v>
                </c:pt>
                <c:pt idx="10">
                  <c:v>0.13156657526572688</c:v>
                </c:pt>
                <c:pt idx="11">
                  <c:v>0.21906158837347628</c:v>
                </c:pt>
                <c:pt idx="12">
                  <c:v>0.50671494628203995</c:v>
                </c:pt>
                <c:pt idx="13">
                  <c:v>1.5970540355531788</c:v>
                </c:pt>
                <c:pt idx="14">
                  <c:v>0.92939147256676036</c:v>
                </c:pt>
                <c:pt idx="15">
                  <c:v>1.7414748164483158</c:v>
                </c:pt>
                <c:pt idx="16">
                  <c:v>2.5609034206895345</c:v>
                </c:pt>
                <c:pt idx="17">
                  <c:v>1.9468180509147746</c:v>
                </c:pt>
                <c:pt idx="18">
                  <c:v>1.2978426944316162</c:v>
                </c:pt>
                <c:pt idx="19">
                  <c:v>2.7595495060045359</c:v>
                </c:pt>
                <c:pt idx="20">
                  <c:v>3.2956454937252277</c:v>
                </c:pt>
                <c:pt idx="21">
                  <c:v>2.2638524502619903</c:v>
                </c:pt>
                <c:pt idx="22">
                  <c:v>2.8480166859245934</c:v>
                </c:pt>
                <c:pt idx="23">
                  <c:v>2.8465044264387802</c:v>
                </c:pt>
                <c:pt idx="24">
                  <c:v>3.1645109925983039</c:v>
                </c:pt>
                <c:pt idx="25">
                  <c:v>1.2119679593443806</c:v>
                </c:pt>
                <c:pt idx="26">
                  <c:v>0</c:v>
                </c:pt>
                <c:pt idx="27">
                  <c:v>0</c:v>
                </c:pt>
                <c:pt idx="28">
                  <c:v>3.5966931499367183</c:v>
                </c:pt>
                <c:pt idx="29">
                  <c:v>3.5540366305832389</c:v>
                </c:pt>
                <c:pt idx="30">
                  <c:v>1.6421517737904379</c:v>
                </c:pt>
                <c:pt idx="31">
                  <c:v>2.1618505479445616</c:v>
                </c:pt>
                <c:pt idx="32">
                  <c:v>0.66909920949777613</c:v>
                </c:pt>
                <c:pt idx="33">
                  <c:v>3.9840476153739282</c:v>
                </c:pt>
                <c:pt idx="34">
                  <c:v>3.647267427883699</c:v>
                </c:pt>
                <c:pt idx="35">
                  <c:v>3.8382982065025746</c:v>
                </c:pt>
                <c:pt idx="36">
                  <c:v>2.9941225559609239</c:v>
                </c:pt>
                <c:pt idx="37">
                  <c:v>2.2359620646022855</c:v>
                </c:pt>
                <c:pt idx="38">
                  <c:v>1.5343060687452266</c:v>
                </c:pt>
                <c:pt idx="39">
                  <c:v>2.4812289494942665</c:v>
                </c:pt>
                <c:pt idx="40">
                  <c:v>1.8974211749957977</c:v>
                </c:pt>
                <c:pt idx="41">
                  <c:v>1.3499832411320558</c:v>
                </c:pt>
                <c:pt idx="42">
                  <c:v>2.4367793224649361</c:v>
                </c:pt>
                <c:pt idx="43">
                  <c:v>1.8102394156382495</c:v>
                </c:pt>
                <c:pt idx="44">
                  <c:v>1.8745968586144617</c:v>
                </c:pt>
                <c:pt idx="45">
                  <c:v>3.219859689778457</c:v>
                </c:pt>
                <c:pt idx="46">
                  <c:v>1.2552833917593635</c:v>
                </c:pt>
                <c:pt idx="47">
                  <c:v>3.4432528213945068</c:v>
                </c:pt>
                <c:pt idx="48">
                  <c:v>1.4392821637689157</c:v>
                </c:pt>
                <c:pt idx="49">
                  <c:v>1.2019870467379936</c:v>
                </c:pt>
                <c:pt idx="50">
                  <c:v>2.3765481875158474</c:v>
                </c:pt>
                <c:pt idx="51">
                  <c:v>4.6146922265181995</c:v>
                </c:pt>
                <c:pt idx="52">
                  <c:v>3.6098282037560403</c:v>
                </c:pt>
                <c:pt idx="53">
                  <c:v>4.1357596473619873</c:v>
                </c:pt>
                <c:pt idx="54">
                  <c:v>2.9910764332826019</c:v>
                </c:pt>
                <c:pt idx="55">
                  <c:v>4.8088231370827978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5-43A4-858B-33AABBF141C4}"/>
            </c:ext>
          </c:extLst>
        </c:ser>
        <c:ser>
          <c:idx val="1"/>
          <c:order val="2"/>
          <c:tx>
            <c:strRef>
              <c:f>'Gain productible Journalier'!$I$2</c:f>
              <c:strCache>
                <c:ptCount val="1"/>
                <c:pt idx="0">
                  <c:v>Dinsheim BELIGHT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'Gain productible Journalier'!$A$3:$A$58</c:f>
              <c:numCache>
                <c:formatCode>m/d/yyyy</c:formatCode>
                <c:ptCount val="56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44233</c:v>
                </c:pt>
                <c:pt idx="6">
                  <c:v>44234</c:v>
                </c:pt>
                <c:pt idx="7">
                  <c:v>44235</c:v>
                </c:pt>
                <c:pt idx="8">
                  <c:v>44236</c:v>
                </c:pt>
                <c:pt idx="9">
                  <c:v>44237</c:v>
                </c:pt>
                <c:pt idx="10">
                  <c:v>44238</c:v>
                </c:pt>
                <c:pt idx="11">
                  <c:v>44239</c:v>
                </c:pt>
                <c:pt idx="12">
                  <c:v>44240</c:v>
                </c:pt>
                <c:pt idx="13">
                  <c:v>44241</c:v>
                </c:pt>
                <c:pt idx="14">
                  <c:v>44242</c:v>
                </c:pt>
                <c:pt idx="15">
                  <c:v>44243</c:v>
                </c:pt>
                <c:pt idx="16">
                  <c:v>44244</c:v>
                </c:pt>
                <c:pt idx="17">
                  <c:v>44245</c:v>
                </c:pt>
                <c:pt idx="18">
                  <c:v>44246</c:v>
                </c:pt>
                <c:pt idx="19">
                  <c:v>44247</c:v>
                </c:pt>
                <c:pt idx="20">
                  <c:v>44248</c:v>
                </c:pt>
                <c:pt idx="21">
                  <c:v>44249</c:v>
                </c:pt>
                <c:pt idx="22">
                  <c:v>44250</c:v>
                </c:pt>
                <c:pt idx="23">
                  <c:v>44251</c:v>
                </c:pt>
                <c:pt idx="24">
                  <c:v>44252</c:v>
                </c:pt>
                <c:pt idx="25">
                  <c:v>44253</c:v>
                </c:pt>
                <c:pt idx="26">
                  <c:v>44254</c:v>
                </c:pt>
                <c:pt idx="27">
                  <c:v>44255</c:v>
                </c:pt>
                <c:pt idx="28">
                  <c:v>44256</c:v>
                </c:pt>
                <c:pt idx="29">
                  <c:v>44257</c:v>
                </c:pt>
                <c:pt idx="30">
                  <c:v>44258</c:v>
                </c:pt>
                <c:pt idx="31">
                  <c:v>44259</c:v>
                </c:pt>
                <c:pt idx="32">
                  <c:v>44260</c:v>
                </c:pt>
                <c:pt idx="33">
                  <c:v>44261</c:v>
                </c:pt>
                <c:pt idx="34">
                  <c:v>44262</c:v>
                </c:pt>
                <c:pt idx="35">
                  <c:v>44263</c:v>
                </c:pt>
                <c:pt idx="36">
                  <c:v>44264</c:v>
                </c:pt>
                <c:pt idx="37">
                  <c:v>44265</c:v>
                </c:pt>
                <c:pt idx="38">
                  <c:v>44266</c:v>
                </c:pt>
                <c:pt idx="39">
                  <c:v>44267</c:v>
                </c:pt>
                <c:pt idx="40">
                  <c:v>44268</c:v>
                </c:pt>
                <c:pt idx="41">
                  <c:v>44269</c:v>
                </c:pt>
                <c:pt idx="42">
                  <c:v>44270</c:v>
                </c:pt>
                <c:pt idx="43">
                  <c:v>44271</c:v>
                </c:pt>
                <c:pt idx="44">
                  <c:v>44272</c:v>
                </c:pt>
                <c:pt idx="45">
                  <c:v>44273</c:v>
                </c:pt>
                <c:pt idx="46">
                  <c:v>44274</c:v>
                </c:pt>
                <c:pt idx="47">
                  <c:v>44275</c:v>
                </c:pt>
                <c:pt idx="48">
                  <c:v>44276</c:v>
                </c:pt>
                <c:pt idx="49">
                  <c:v>44277</c:v>
                </c:pt>
                <c:pt idx="50">
                  <c:v>44278</c:v>
                </c:pt>
                <c:pt idx="51">
                  <c:v>44279</c:v>
                </c:pt>
                <c:pt idx="52">
                  <c:v>44280</c:v>
                </c:pt>
                <c:pt idx="53">
                  <c:v>44281</c:v>
                </c:pt>
                <c:pt idx="54">
                  <c:v>44282</c:v>
                </c:pt>
                <c:pt idx="55">
                  <c:v>44283</c:v>
                </c:pt>
              </c:numCache>
            </c:numRef>
          </c:cat>
          <c:val>
            <c:numRef>
              <c:f>'Gain productible Journalier'!$I$3:$I$58</c:f>
              <c:numCache>
                <c:formatCode>0.00</c:formatCode>
                <c:ptCount val="56"/>
                <c:pt idx="0">
                  <c:v>1.1644902355825066</c:v>
                </c:pt>
                <c:pt idx="1">
                  <c:v>0.98895389450083093</c:v>
                </c:pt>
                <c:pt idx="2">
                  <c:v>0.54922048413012448</c:v>
                </c:pt>
                <c:pt idx="3">
                  <c:v>2.2331792816255223</c:v>
                </c:pt>
                <c:pt idx="4">
                  <c:v>0.27133753062116656</c:v>
                </c:pt>
                <c:pt idx="5">
                  <c:v>0.16601572597216113</c:v>
                </c:pt>
                <c:pt idx="6">
                  <c:v>0.68845948010677571</c:v>
                </c:pt>
                <c:pt idx="7">
                  <c:v>0.57004682968218767</c:v>
                </c:pt>
                <c:pt idx="8">
                  <c:v>0.18505695619119036</c:v>
                </c:pt>
                <c:pt idx="9">
                  <c:v>0.34690741305293887</c:v>
                </c:pt>
                <c:pt idx="10">
                  <c:v>4.6127380205598314</c:v>
                </c:pt>
                <c:pt idx="11">
                  <c:v>5.6439396446091337</c:v>
                </c:pt>
                <c:pt idx="12">
                  <c:v>1.2573162329002741</c:v>
                </c:pt>
                <c:pt idx="13">
                  <c:v>5.6385842986100325</c:v>
                </c:pt>
                <c:pt idx="14">
                  <c:v>1.1145070062575548</c:v>
                </c:pt>
                <c:pt idx="15">
                  <c:v>2.5658057720141891</c:v>
                </c:pt>
                <c:pt idx="16">
                  <c:v>4.4425570254772584</c:v>
                </c:pt>
                <c:pt idx="17">
                  <c:v>2.511657273578825</c:v>
                </c:pt>
                <c:pt idx="18">
                  <c:v>1.9416104438966373</c:v>
                </c:pt>
                <c:pt idx="19">
                  <c:v>4.7900594769745419</c:v>
                </c:pt>
                <c:pt idx="20">
                  <c:v>6.2389780889537976</c:v>
                </c:pt>
                <c:pt idx="21">
                  <c:v>3.4934707067475199</c:v>
                </c:pt>
                <c:pt idx="22">
                  <c:v>5.0982893911450775</c:v>
                </c:pt>
                <c:pt idx="23">
                  <c:v>5.0054633938273101</c:v>
                </c:pt>
                <c:pt idx="24">
                  <c:v>5.8129305628030181</c:v>
                </c:pt>
                <c:pt idx="25">
                  <c:v>1.4679598421982851</c:v>
                </c:pt>
                <c:pt idx="26">
                  <c:v>0</c:v>
                </c:pt>
                <c:pt idx="27">
                  <c:v>0</c:v>
                </c:pt>
                <c:pt idx="28">
                  <c:v>5.111796763831701</c:v>
                </c:pt>
                <c:pt idx="29">
                  <c:v>6.2772985647695938</c:v>
                </c:pt>
                <c:pt idx="30">
                  <c:v>2.0065291381746397</c:v>
                </c:pt>
                <c:pt idx="31">
                  <c:v>3.0246399164483595</c:v>
                </c:pt>
                <c:pt idx="32">
                  <c:v>0.68655535708487281</c:v>
                </c:pt>
                <c:pt idx="33">
                  <c:v>6.7956365536382304</c:v>
                </c:pt>
                <c:pt idx="34">
                  <c:v>6.0589194556951025</c:v>
                </c:pt>
                <c:pt idx="35">
                  <c:v>6.3952946882831405</c:v>
                </c:pt>
                <c:pt idx="36">
                  <c:v>4.5648969296345205</c:v>
                </c:pt>
                <c:pt idx="37">
                  <c:v>2.8229218838155186</c:v>
                </c:pt>
                <c:pt idx="38">
                  <c:v>1.9869523733557009</c:v>
                </c:pt>
                <c:pt idx="39">
                  <c:v>3.3763671409004901</c:v>
                </c:pt>
                <c:pt idx="40">
                  <c:v>2.3955057692427468</c:v>
                </c:pt>
                <c:pt idx="41">
                  <c:v>1.5869080272227833</c:v>
                </c:pt>
                <c:pt idx="42">
                  <c:v>3.3854117252545288</c:v>
                </c:pt>
                <c:pt idx="43">
                  <c:v>2.1294640807762475</c:v>
                </c:pt>
                <c:pt idx="44">
                  <c:v>2.3691455661582776</c:v>
                </c:pt>
                <c:pt idx="45">
                  <c:v>4.4067357111277099</c:v>
                </c:pt>
                <c:pt idx="46">
                  <c:v>1.3902478213668721</c:v>
                </c:pt>
                <c:pt idx="47">
                  <c:v>4.8205254453249884</c:v>
                </c:pt>
                <c:pt idx="48">
                  <c:v>1.6495060715678418</c:v>
                </c:pt>
                <c:pt idx="49">
                  <c:v>1.2566021867670605</c:v>
                </c:pt>
                <c:pt idx="50">
                  <c:v>2.8064988227516059</c:v>
                </c:pt>
                <c:pt idx="51">
                  <c:v>6.9886075211392047</c:v>
                </c:pt>
                <c:pt idx="52">
                  <c:v>5.0921604951683275</c:v>
                </c:pt>
                <c:pt idx="53">
                  <c:v>5.9593100201118059</c:v>
                </c:pt>
                <c:pt idx="54">
                  <c:v>3.7523719338818831</c:v>
                </c:pt>
                <c:pt idx="55">
                  <c:v>7.0318073121986275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5-43A4-858B-33AABBF14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7374000"/>
        <c:axId val="587374656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strRef>
                    <c:extLst>
                      <c:ext uri="{02D57815-91ED-43cb-92C2-25804820EDAC}">
                        <c15:formulaRef>
                          <c15:sqref>'Gain productible Journalier'!$G$2</c15:sqref>
                        </c15:formulaRef>
                      </c:ext>
                    </c:extLst>
                    <c:strCache>
                      <c:ptCount val="1"/>
                      <c:pt idx="0">
                        <c:v>Strub Parking erstein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'Gain productible Journalier'!$A$3:$A$58</c15:sqref>
                        </c15:formulaRef>
                      </c:ext>
                    </c:extLst>
                    <c:numCache>
                      <c:formatCode>m/d/yyyy</c:formatCode>
                      <c:ptCount val="56"/>
                      <c:pt idx="0">
                        <c:v>44228</c:v>
                      </c:pt>
                      <c:pt idx="1">
                        <c:v>44229</c:v>
                      </c:pt>
                      <c:pt idx="2">
                        <c:v>44230</c:v>
                      </c:pt>
                      <c:pt idx="3">
                        <c:v>44231</c:v>
                      </c:pt>
                      <c:pt idx="4">
                        <c:v>44232</c:v>
                      </c:pt>
                      <c:pt idx="5">
                        <c:v>44233</c:v>
                      </c:pt>
                      <c:pt idx="6">
                        <c:v>44234</c:v>
                      </c:pt>
                      <c:pt idx="7">
                        <c:v>44235</c:v>
                      </c:pt>
                      <c:pt idx="8">
                        <c:v>44236</c:v>
                      </c:pt>
                      <c:pt idx="9">
                        <c:v>44237</c:v>
                      </c:pt>
                      <c:pt idx="10">
                        <c:v>44238</c:v>
                      </c:pt>
                      <c:pt idx="11">
                        <c:v>44239</c:v>
                      </c:pt>
                      <c:pt idx="12">
                        <c:v>44240</c:v>
                      </c:pt>
                      <c:pt idx="13">
                        <c:v>44241</c:v>
                      </c:pt>
                      <c:pt idx="14">
                        <c:v>44242</c:v>
                      </c:pt>
                      <c:pt idx="15">
                        <c:v>44243</c:v>
                      </c:pt>
                      <c:pt idx="16">
                        <c:v>44244</c:v>
                      </c:pt>
                      <c:pt idx="17">
                        <c:v>44245</c:v>
                      </c:pt>
                      <c:pt idx="18">
                        <c:v>44246</c:v>
                      </c:pt>
                      <c:pt idx="19">
                        <c:v>44247</c:v>
                      </c:pt>
                      <c:pt idx="20">
                        <c:v>44248</c:v>
                      </c:pt>
                      <c:pt idx="21">
                        <c:v>44249</c:v>
                      </c:pt>
                      <c:pt idx="22">
                        <c:v>44250</c:v>
                      </c:pt>
                      <c:pt idx="23">
                        <c:v>44251</c:v>
                      </c:pt>
                      <c:pt idx="24">
                        <c:v>44252</c:v>
                      </c:pt>
                      <c:pt idx="25">
                        <c:v>44253</c:v>
                      </c:pt>
                      <c:pt idx="26">
                        <c:v>44254</c:v>
                      </c:pt>
                      <c:pt idx="27">
                        <c:v>44255</c:v>
                      </c:pt>
                      <c:pt idx="28">
                        <c:v>44256</c:v>
                      </c:pt>
                      <c:pt idx="29">
                        <c:v>44257</c:v>
                      </c:pt>
                      <c:pt idx="30">
                        <c:v>44258</c:v>
                      </c:pt>
                      <c:pt idx="31">
                        <c:v>44259</c:v>
                      </c:pt>
                      <c:pt idx="32">
                        <c:v>44260</c:v>
                      </c:pt>
                      <c:pt idx="33">
                        <c:v>44261</c:v>
                      </c:pt>
                      <c:pt idx="34">
                        <c:v>44262</c:v>
                      </c:pt>
                      <c:pt idx="35">
                        <c:v>44263</c:v>
                      </c:pt>
                      <c:pt idx="36">
                        <c:v>44264</c:v>
                      </c:pt>
                      <c:pt idx="37">
                        <c:v>44265</c:v>
                      </c:pt>
                      <c:pt idx="38">
                        <c:v>44266</c:v>
                      </c:pt>
                      <c:pt idx="39">
                        <c:v>44267</c:v>
                      </c:pt>
                      <c:pt idx="40">
                        <c:v>44268</c:v>
                      </c:pt>
                      <c:pt idx="41">
                        <c:v>44269</c:v>
                      </c:pt>
                      <c:pt idx="42">
                        <c:v>44270</c:v>
                      </c:pt>
                      <c:pt idx="43">
                        <c:v>44271</c:v>
                      </c:pt>
                      <c:pt idx="44">
                        <c:v>44272</c:v>
                      </c:pt>
                      <c:pt idx="45">
                        <c:v>44273</c:v>
                      </c:pt>
                      <c:pt idx="46">
                        <c:v>44274</c:v>
                      </c:pt>
                      <c:pt idx="47">
                        <c:v>44275</c:v>
                      </c:pt>
                      <c:pt idx="48">
                        <c:v>44276</c:v>
                      </c:pt>
                      <c:pt idx="49">
                        <c:v>44277</c:v>
                      </c:pt>
                      <c:pt idx="50">
                        <c:v>44278</c:v>
                      </c:pt>
                      <c:pt idx="51">
                        <c:v>44279</c:v>
                      </c:pt>
                      <c:pt idx="52">
                        <c:v>44280</c:v>
                      </c:pt>
                      <c:pt idx="53">
                        <c:v>44281</c:v>
                      </c:pt>
                      <c:pt idx="54">
                        <c:v>44282</c:v>
                      </c:pt>
                      <c:pt idx="55">
                        <c:v>44283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'Gain productible Journalier'!$G$3:$G$46</c15:sqref>
                        </c15:formulaRef>
                      </c:ext>
                    </c:extLst>
                    <c:numCache>
                      <c:formatCode>0.00</c:formatCode>
                      <c:ptCount val="44"/>
                      <c:pt idx="0">
                        <c:v>0.85584408845109894</c:v>
                      </c:pt>
                      <c:pt idx="1">
                        <c:v>0.90446072092111407</c:v>
                      </c:pt>
                      <c:pt idx="2">
                        <c:v>0.4148858500331109</c:v>
                      </c:pt>
                      <c:pt idx="3">
                        <c:v>1.6967982119759741</c:v>
                      </c:pt>
                      <c:pt idx="4">
                        <c:v>0.7699128450816094</c:v>
                      </c:pt>
                      <c:pt idx="5">
                        <c:v>0.20923689669439943</c:v>
                      </c:pt>
                      <c:pt idx="6">
                        <c:v>0.61294032326885417</c:v>
                      </c:pt>
                      <c:pt idx="7">
                        <c:v>0.31394504362551068</c:v>
                      </c:pt>
                      <c:pt idx="8">
                        <c:v>0.15703232086869634</c:v>
                      </c:pt>
                      <c:pt idx="9">
                        <c:v>0.43348335642690816</c:v>
                      </c:pt>
                      <c:pt idx="10">
                        <c:v>1.8463556508535857</c:v>
                      </c:pt>
                      <c:pt idx="11">
                        <c:v>2.264889243298327</c:v>
                      </c:pt>
                      <c:pt idx="12">
                        <c:v>2.6274509193938527</c:v>
                      </c:pt>
                      <c:pt idx="13">
                        <c:v>2.668413272704957</c:v>
                      </c:pt>
                      <c:pt idx="14">
                        <c:v>0.77744752612863288</c:v>
                      </c:pt>
                      <c:pt idx="15">
                        <c:v>0.70263890716185717</c:v>
                      </c:pt>
                      <c:pt idx="16">
                        <c:v>1.409045154847228</c:v>
                      </c:pt>
                      <c:pt idx="17">
                        <c:v>2.0705423115301538</c:v>
                      </c:pt>
                      <c:pt idx="18">
                        <c:v>2.231162575754539</c:v>
                      </c:pt>
                      <c:pt idx="19">
                        <c:v>2.6760675518638641</c:v>
                      </c:pt>
                      <c:pt idx="20">
                        <c:v>3.2478063255978467</c:v>
                      </c:pt>
                      <c:pt idx="21">
                        <c:v>2.5189754319392286</c:v>
                      </c:pt>
                      <c:pt idx="22">
                        <c:v>3.1395102353110467</c:v>
                      </c:pt>
                      <c:pt idx="23">
                        <c:v>3.0385694289034499</c:v>
                      </c:pt>
                      <c:pt idx="24">
                        <c:v>3.4645181042833308</c:v>
                      </c:pt>
                      <c:pt idx="25">
                        <c:v>1.5734626591230951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4.0737508860846141</c:v>
                      </c:pt>
                      <c:pt idx="29">
                        <c:v>3.9206653029072527</c:v>
                      </c:pt>
                      <c:pt idx="30">
                        <c:v>1.6593640029646155</c:v>
                      </c:pt>
                      <c:pt idx="31">
                        <c:v>2.1003820404385469</c:v>
                      </c:pt>
                      <c:pt idx="32">
                        <c:v>1.0800905481836078</c:v>
                      </c:pt>
                      <c:pt idx="33">
                        <c:v>4.6008197650399181</c:v>
                      </c:pt>
                      <c:pt idx="34">
                        <c:v>3.9954141228180884</c:v>
                      </c:pt>
                      <c:pt idx="35">
                        <c:v>4.3802808467749816</c:v>
                      </c:pt>
                      <c:pt idx="36">
                        <c:v>3.6140755431609439</c:v>
                      </c:pt>
                      <c:pt idx="37">
                        <c:v>2.7283319267455091</c:v>
                      </c:pt>
                      <c:pt idx="38">
                        <c:v>1.1960409176293147</c:v>
                      </c:pt>
                      <c:pt idx="39">
                        <c:v>2.9300939414488254</c:v>
                      </c:pt>
                      <c:pt idx="40">
                        <c:v>1.3454787583950456</c:v>
                      </c:pt>
                      <c:pt idx="41">
                        <c:v>1.6481815795059604</c:v>
                      </c:pt>
                      <c:pt idx="42">
                        <c:v>2.5677116625211234</c:v>
                      </c:pt>
                      <c:pt idx="43">
                        <c:v>2.5900167103824923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D75-43A4-858B-33AABBF141C4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'Gain productible Journalier'!$H$2</c15:sqref>
                        </c15:formulaRef>
                      </c:ext>
                    </c:extLst>
                    <c:strCache>
                      <c:ptCount val="1"/>
                      <c:pt idx="0">
                        <c:v>Dinsheim 2 AC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'Gain productible Journalier'!$A$3:$A$58</c15:sqref>
                        </c15:formulaRef>
                      </c:ext>
                    </c:extLst>
                    <c:numCache>
                      <c:formatCode>m/d/yyyy</c:formatCode>
                      <c:ptCount val="56"/>
                      <c:pt idx="0">
                        <c:v>44228</c:v>
                      </c:pt>
                      <c:pt idx="1">
                        <c:v>44229</c:v>
                      </c:pt>
                      <c:pt idx="2">
                        <c:v>44230</c:v>
                      </c:pt>
                      <c:pt idx="3">
                        <c:v>44231</c:v>
                      </c:pt>
                      <c:pt idx="4">
                        <c:v>44232</c:v>
                      </c:pt>
                      <c:pt idx="5">
                        <c:v>44233</c:v>
                      </c:pt>
                      <c:pt idx="6">
                        <c:v>44234</c:v>
                      </c:pt>
                      <c:pt idx="7">
                        <c:v>44235</c:v>
                      </c:pt>
                      <c:pt idx="8">
                        <c:v>44236</c:v>
                      </c:pt>
                      <c:pt idx="9">
                        <c:v>44237</c:v>
                      </c:pt>
                      <c:pt idx="10">
                        <c:v>44238</c:v>
                      </c:pt>
                      <c:pt idx="11">
                        <c:v>44239</c:v>
                      </c:pt>
                      <c:pt idx="12">
                        <c:v>44240</c:v>
                      </c:pt>
                      <c:pt idx="13">
                        <c:v>44241</c:v>
                      </c:pt>
                      <c:pt idx="14">
                        <c:v>44242</c:v>
                      </c:pt>
                      <c:pt idx="15">
                        <c:v>44243</c:v>
                      </c:pt>
                      <c:pt idx="16">
                        <c:v>44244</c:v>
                      </c:pt>
                      <c:pt idx="17">
                        <c:v>44245</c:v>
                      </c:pt>
                      <c:pt idx="18">
                        <c:v>44246</c:v>
                      </c:pt>
                      <c:pt idx="19">
                        <c:v>44247</c:v>
                      </c:pt>
                      <c:pt idx="20">
                        <c:v>44248</c:v>
                      </c:pt>
                      <c:pt idx="21">
                        <c:v>44249</c:v>
                      </c:pt>
                      <c:pt idx="22">
                        <c:v>44250</c:v>
                      </c:pt>
                      <c:pt idx="23">
                        <c:v>44251</c:v>
                      </c:pt>
                      <c:pt idx="24">
                        <c:v>44252</c:v>
                      </c:pt>
                      <c:pt idx="25">
                        <c:v>44253</c:v>
                      </c:pt>
                      <c:pt idx="26">
                        <c:v>44254</c:v>
                      </c:pt>
                      <c:pt idx="27">
                        <c:v>44255</c:v>
                      </c:pt>
                      <c:pt idx="28">
                        <c:v>44256</c:v>
                      </c:pt>
                      <c:pt idx="29">
                        <c:v>44257</c:v>
                      </c:pt>
                      <c:pt idx="30">
                        <c:v>44258</c:v>
                      </c:pt>
                      <c:pt idx="31">
                        <c:v>44259</c:v>
                      </c:pt>
                      <c:pt idx="32">
                        <c:v>44260</c:v>
                      </c:pt>
                      <c:pt idx="33">
                        <c:v>44261</c:v>
                      </c:pt>
                      <c:pt idx="34">
                        <c:v>44262</c:v>
                      </c:pt>
                      <c:pt idx="35">
                        <c:v>44263</c:v>
                      </c:pt>
                      <c:pt idx="36">
                        <c:v>44264</c:v>
                      </c:pt>
                      <c:pt idx="37">
                        <c:v>44265</c:v>
                      </c:pt>
                      <c:pt idx="38">
                        <c:v>44266</c:v>
                      </c:pt>
                      <c:pt idx="39">
                        <c:v>44267</c:v>
                      </c:pt>
                      <c:pt idx="40">
                        <c:v>44268</c:v>
                      </c:pt>
                      <c:pt idx="41">
                        <c:v>44269</c:v>
                      </c:pt>
                      <c:pt idx="42">
                        <c:v>44270</c:v>
                      </c:pt>
                      <c:pt idx="43">
                        <c:v>44271</c:v>
                      </c:pt>
                      <c:pt idx="44">
                        <c:v>44272</c:v>
                      </c:pt>
                      <c:pt idx="45">
                        <c:v>44273</c:v>
                      </c:pt>
                      <c:pt idx="46">
                        <c:v>44274</c:v>
                      </c:pt>
                      <c:pt idx="47">
                        <c:v>44275</c:v>
                      </c:pt>
                      <c:pt idx="48">
                        <c:v>44276</c:v>
                      </c:pt>
                      <c:pt idx="49">
                        <c:v>44277</c:v>
                      </c:pt>
                      <c:pt idx="50">
                        <c:v>44278</c:v>
                      </c:pt>
                      <c:pt idx="51">
                        <c:v>44279</c:v>
                      </c:pt>
                      <c:pt idx="52">
                        <c:v>44280</c:v>
                      </c:pt>
                      <c:pt idx="53">
                        <c:v>44281</c:v>
                      </c:pt>
                      <c:pt idx="54">
                        <c:v>44282</c:v>
                      </c:pt>
                      <c:pt idx="55">
                        <c:v>44283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'Gain productible Journalier'!$H$3:$H$58</c15:sqref>
                        </c15:formulaRef>
                      </c:ext>
                    </c:extLst>
                    <c:numCache>
                      <c:formatCode>0.00</c:formatCode>
                      <c:ptCount val="56"/>
                      <c:pt idx="0">
                        <c:v>1.012812812901974</c:v>
                      </c:pt>
                      <c:pt idx="1">
                        <c:v>0.90946370545210165</c:v>
                      </c:pt>
                      <c:pt idx="2">
                        <c:v>0.56725957629284718</c:v>
                      </c:pt>
                      <c:pt idx="3">
                        <c:v>1.5374920505190675</c:v>
                      </c:pt>
                      <c:pt idx="4">
                        <c:v>0.28105555558029777</c:v>
                      </c:pt>
                      <c:pt idx="5">
                        <c:v>0.14846147815788102</c:v>
                      </c:pt>
                      <c:pt idx="6">
                        <c:v>0.48623455126068932</c:v>
                      </c:pt>
                      <c:pt idx="7">
                        <c:v>0.42023291628657738</c:v>
                      </c:pt>
                      <c:pt idx="8">
                        <c:v>0.13120145980467654</c:v>
                      </c:pt>
                      <c:pt idx="9">
                        <c:v>3.6841066069309307E-2</c:v>
                      </c:pt>
                      <c:pt idx="10">
                        <c:v>0.16732511679818027</c:v>
                      </c:pt>
                      <c:pt idx="11">
                        <c:v>0.61481957796536912</c:v>
                      </c:pt>
                      <c:pt idx="12">
                        <c:v>2.0048629631394572</c:v>
                      </c:pt>
                      <c:pt idx="13">
                        <c:v>2.0586264432910037</c:v>
                      </c:pt>
                      <c:pt idx="14">
                        <c:v>0.73724332672489523</c:v>
                      </c:pt>
                      <c:pt idx="15">
                        <c:v>1.2365178429516974</c:v>
                      </c:pt>
                      <c:pt idx="16">
                        <c:v>1.8298573491767707</c:v>
                      </c:pt>
                      <c:pt idx="17">
                        <c:v>1.4352823574837099</c:v>
                      </c:pt>
                      <c:pt idx="18">
                        <c:v>0.9745791292149244</c:v>
                      </c:pt>
                      <c:pt idx="19">
                        <c:v>2.0023731316410736</c:v>
                      </c:pt>
                      <c:pt idx="20">
                        <c:v>2.3898162331099493</c:v>
                      </c:pt>
                      <c:pt idx="21">
                        <c:v>1.6591561896689171</c:v>
                      </c:pt>
                      <c:pt idx="22">
                        <c:v>2.0465148900700512</c:v>
                      </c:pt>
                      <c:pt idx="23">
                        <c:v>2.039636203049092</c:v>
                      </c:pt>
                      <c:pt idx="24">
                        <c:v>2.28612952138911</c:v>
                      </c:pt>
                      <c:pt idx="25">
                        <c:v>0.97335531373266793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3.3217095223144426</c:v>
                      </c:pt>
                      <c:pt idx="29">
                        <c:v>3.2756391994875642</c:v>
                      </c:pt>
                      <c:pt idx="30">
                        <c:v>1.5311872907587527</c:v>
                      </c:pt>
                      <c:pt idx="31">
                        <c:v>2.0405224142603817</c:v>
                      </c:pt>
                      <c:pt idx="32">
                        <c:v>0.63753190529469594</c:v>
                      </c:pt>
                      <c:pt idx="33">
                        <c:v>3.6881831785028605</c:v>
                      </c:pt>
                      <c:pt idx="34">
                        <c:v>3.3422274218824817</c:v>
                      </c:pt>
                      <c:pt idx="35">
                        <c:v>3.5663080366836568</c:v>
                      </c:pt>
                      <c:pt idx="36">
                        <c:v>2.7615649560322324</c:v>
                      </c:pt>
                      <c:pt idx="37">
                        <c:v>2.0629140175322891</c:v>
                      </c:pt>
                      <c:pt idx="38">
                        <c:v>1.468612339134959</c:v>
                      </c:pt>
                      <c:pt idx="39">
                        <c:v>1.9055355665674838</c:v>
                      </c:pt>
                      <c:pt idx="40">
                        <c:v>1.4760396330962402</c:v>
                      </c:pt>
                      <c:pt idx="41">
                        <c:v>1.060520516443044</c:v>
                      </c:pt>
                      <c:pt idx="42">
                        <c:v>2.071219082598085</c:v>
                      </c:pt>
                      <c:pt idx="43">
                        <c:v>1.8219616292895222</c:v>
                      </c:pt>
                      <c:pt idx="44">
                        <c:v>1.7165615758935231</c:v>
                      </c:pt>
                      <c:pt idx="45">
                        <c:v>3.3100706150728438</c:v>
                      </c:pt>
                      <c:pt idx="46">
                        <c:v>1.0979439498797721</c:v>
                      </c:pt>
                      <c:pt idx="47">
                        <c:v>3.4822361331060181</c:v>
                      </c:pt>
                      <c:pt idx="48">
                        <c:v>1.4650801544499634</c:v>
                      </c:pt>
                      <c:pt idx="49">
                        <c:v>1.2217096756163932</c:v>
                      </c:pt>
                      <c:pt idx="50">
                        <c:v>2.399606756968002</c:v>
                      </c:pt>
                      <c:pt idx="51">
                        <c:v>4.0407939593146827</c:v>
                      </c:pt>
                      <c:pt idx="52">
                        <c:v>2.7203012740132504</c:v>
                      </c:pt>
                      <c:pt idx="53">
                        <c:v>3.1935718212687947</c:v>
                      </c:pt>
                      <c:pt idx="54">
                        <c:v>2.3020475627652188</c:v>
                      </c:pt>
                      <c:pt idx="55">
                        <c:v>3.7334854516132885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B97-4613-8B97-652C1EC443D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3"/>
          <c:order val="3"/>
          <c:tx>
            <c:strRef>
              <c:f>'Gain productible Journalier'!$R$1</c:f>
              <c:strCache>
                <c:ptCount val="1"/>
                <c:pt idx="0">
                  <c:v>Gain de productible Journalier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'Gain productible Journalier'!$A$3:$A$58</c:f>
              <c:numCache>
                <c:formatCode>m/d/yyyy</c:formatCode>
                <c:ptCount val="56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44233</c:v>
                </c:pt>
                <c:pt idx="6">
                  <c:v>44234</c:v>
                </c:pt>
                <c:pt idx="7">
                  <c:v>44235</c:v>
                </c:pt>
                <c:pt idx="8">
                  <c:v>44236</c:v>
                </c:pt>
                <c:pt idx="9">
                  <c:v>44237</c:v>
                </c:pt>
                <c:pt idx="10">
                  <c:v>44238</c:v>
                </c:pt>
                <c:pt idx="11">
                  <c:v>44239</c:v>
                </c:pt>
                <c:pt idx="12">
                  <c:v>44240</c:v>
                </c:pt>
                <c:pt idx="13">
                  <c:v>44241</c:v>
                </c:pt>
                <c:pt idx="14">
                  <c:v>44242</c:v>
                </c:pt>
                <c:pt idx="15">
                  <c:v>44243</c:v>
                </c:pt>
                <c:pt idx="16">
                  <c:v>44244</c:v>
                </c:pt>
                <c:pt idx="17">
                  <c:v>44245</c:v>
                </c:pt>
                <c:pt idx="18">
                  <c:v>44246</c:v>
                </c:pt>
                <c:pt idx="19">
                  <c:v>44247</c:v>
                </c:pt>
                <c:pt idx="20">
                  <c:v>44248</c:v>
                </c:pt>
                <c:pt idx="21">
                  <c:v>44249</c:v>
                </c:pt>
                <c:pt idx="22">
                  <c:v>44250</c:v>
                </c:pt>
                <c:pt idx="23">
                  <c:v>44251</c:v>
                </c:pt>
                <c:pt idx="24">
                  <c:v>44252</c:v>
                </c:pt>
                <c:pt idx="25">
                  <c:v>44253</c:v>
                </c:pt>
                <c:pt idx="26">
                  <c:v>44254</c:v>
                </c:pt>
                <c:pt idx="27">
                  <c:v>44255</c:v>
                </c:pt>
                <c:pt idx="28">
                  <c:v>44256</c:v>
                </c:pt>
                <c:pt idx="29">
                  <c:v>44257</c:v>
                </c:pt>
                <c:pt idx="30">
                  <c:v>44258</c:v>
                </c:pt>
                <c:pt idx="31">
                  <c:v>44259</c:v>
                </c:pt>
                <c:pt idx="32">
                  <c:v>44260</c:v>
                </c:pt>
                <c:pt idx="33">
                  <c:v>44261</c:v>
                </c:pt>
                <c:pt idx="34">
                  <c:v>44262</c:v>
                </c:pt>
                <c:pt idx="35">
                  <c:v>44263</c:v>
                </c:pt>
                <c:pt idx="36">
                  <c:v>44264</c:v>
                </c:pt>
                <c:pt idx="37">
                  <c:v>44265</c:v>
                </c:pt>
                <c:pt idx="38">
                  <c:v>44266</c:v>
                </c:pt>
                <c:pt idx="39">
                  <c:v>44267</c:v>
                </c:pt>
                <c:pt idx="40">
                  <c:v>44268</c:v>
                </c:pt>
                <c:pt idx="41">
                  <c:v>44269</c:v>
                </c:pt>
                <c:pt idx="42">
                  <c:v>44270</c:v>
                </c:pt>
                <c:pt idx="43">
                  <c:v>44271</c:v>
                </c:pt>
                <c:pt idx="44">
                  <c:v>44272</c:v>
                </c:pt>
                <c:pt idx="45">
                  <c:v>44273</c:v>
                </c:pt>
                <c:pt idx="46">
                  <c:v>44274</c:v>
                </c:pt>
                <c:pt idx="47">
                  <c:v>44275</c:v>
                </c:pt>
                <c:pt idx="48">
                  <c:v>44276</c:v>
                </c:pt>
                <c:pt idx="49">
                  <c:v>44277</c:v>
                </c:pt>
                <c:pt idx="50">
                  <c:v>44278</c:v>
                </c:pt>
                <c:pt idx="51">
                  <c:v>44279</c:v>
                </c:pt>
                <c:pt idx="52">
                  <c:v>44280</c:v>
                </c:pt>
                <c:pt idx="53">
                  <c:v>44281</c:v>
                </c:pt>
                <c:pt idx="54">
                  <c:v>44282</c:v>
                </c:pt>
                <c:pt idx="55">
                  <c:v>44283</c:v>
                </c:pt>
              </c:numCache>
            </c:numRef>
          </c:cat>
          <c:val>
            <c:numRef>
              <c:f>'Gain productible Journalier'!$S$3:$S$58</c:f>
              <c:numCache>
                <c:formatCode>0%</c:formatCode>
                <c:ptCount val="56"/>
                <c:pt idx="0">
                  <c:v>0.14975859383723344</c:v>
                </c:pt>
                <c:pt idx="1">
                  <c:v>0.12025721040758269</c:v>
                </c:pt>
                <c:pt idx="2">
                  <c:v>8.5609732682652956E-2</c:v>
                </c:pt>
                <c:pt idx="3">
                  <c:v>0.22567901636444415</c:v>
                </c:pt>
                <c:pt idx="4">
                  <c:v>0.20870015258944741</c:v>
                </c:pt>
                <c:pt idx="5">
                  <c:v>0.20568667807234914</c:v>
                </c:pt>
                <c:pt idx="6">
                  <c:v>0.22636592432916477</c:v>
                </c:pt>
                <c:pt idx="7">
                  <c:v>0.22085040913760656</c:v>
                </c:pt>
                <c:pt idx="8">
                  <c:v>0.22379276853748992</c:v>
                </c:pt>
                <c:pt idx="9">
                  <c:v>0.28177186339981886</c:v>
                </c:pt>
                <c:pt idx="10">
                  <c:v>1.0586518527416038</c:v>
                </c:pt>
                <c:pt idx="11">
                  <c:v>1.7593527630017709</c:v>
                </c:pt>
                <c:pt idx="12">
                  <c:v>1.2454340765086187</c:v>
                </c:pt>
                <c:pt idx="13">
                  <c:v>1.3433530085745162</c:v>
                </c:pt>
                <c:pt idx="14">
                  <c:v>1.28818672463815</c:v>
                </c:pt>
                <c:pt idx="15">
                  <c:v>1.2668451596305927</c:v>
                </c:pt>
                <c:pt idx="16">
                  <c:v>1.2876171876425559</c:v>
                </c:pt>
                <c:pt idx="17">
                  <c:v>1.2381973892798199</c:v>
                </c:pt>
                <c:pt idx="18">
                  <c:v>1.2237496754122357</c:v>
                </c:pt>
                <c:pt idx="19">
                  <c:v>1.1620358600732252</c:v>
                </c:pt>
                <c:pt idx="20">
                  <c:v>1.1227743090447568</c:v>
                </c:pt>
                <c:pt idx="21">
                  <c:v>1.0699464935980616</c:v>
                </c:pt>
                <c:pt idx="22">
                  <c:v>1.0411618885027534</c:v>
                </c:pt>
                <c:pt idx="23">
                  <c:v>1.0148066104343096</c:v>
                </c:pt>
                <c:pt idx="24">
                  <c:v>0.99810085114430247</c:v>
                </c:pt>
                <c:pt idx="25">
                  <c:v>0.97078257310118854</c:v>
                </c:pt>
                <c:pt idx="26">
                  <c:v>0.97078257310118854</c:v>
                </c:pt>
                <c:pt idx="27">
                  <c:v>0.97078257310118854</c:v>
                </c:pt>
                <c:pt idx="28">
                  <c:v>0.91945341764796862</c:v>
                </c:pt>
                <c:pt idx="29">
                  <c:v>0.90650755630711899</c:v>
                </c:pt>
                <c:pt idx="30">
                  <c:v>0.88078266328129817</c:v>
                </c:pt>
                <c:pt idx="31">
                  <c:v>0.85807814392544657</c:v>
                </c:pt>
                <c:pt idx="32">
                  <c:v>0.84611510142029811</c:v>
                </c:pt>
                <c:pt idx="33">
                  <c:v>0.83504225654694508</c:v>
                </c:pt>
                <c:pt idx="34">
                  <c:v>0.82333780606203311</c:v>
                </c:pt>
                <c:pt idx="35">
                  <c:v>0.81293804266121295</c:v>
                </c:pt>
                <c:pt idx="36">
                  <c:v>0.79878558909073971</c:v>
                </c:pt>
                <c:pt idx="37">
                  <c:v>0.77982256212927548</c:v>
                </c:pt>
                <c:pt idx="38">
                  <c:v>0.76833780266143481</c:v>
                </c:pt>
                <c:pt idx="39">
                  <c:v>0.75329986098299118</c:v>
                </c:pt>
                <c:pt idx="40">
                  <c:v>0.73983213634363865</c:v>
                </c:pt>
                <c:pt idx="41">
                  <c:v>0.72902537011042168</c:v>
                </c:pt>
                <c:pt idx="42">
                  <c:v>0.71767465751801596</c:v>
                </c:pt>
                <c:pt idx="43">
                  <c:v>0.70456392979959803</c:v>
                </c:pt>
                <c:pt idx="44">
                  <c:v>0.6937802188500426</c:v>
                </c:pt>
                <c:pt idx="45">
                  <c:v>0.68066612657185754</c:v>
                </c:pt>
                <c:pt idx="46">
                  <c:v>0.67179403379594516</c:v>
                </c:pt>
                <c:pt idx="47">
                  <c:v>0.66072322981456222</c:v>
                </c:pt>
                <c:pt idx="48">
                  <c:v>0.6521074833410424</c:v>
                </c:pt>
                <c:pt idx="49">
                  <c:v>0.6437428298540373</c:v>
                </c:pt>
                <c:pt idx="50">
                  <c:v>0.6314604685264148</c:v>
                </c:pt>
                <c:pt idx="51">
                  <c:v>0.62572522773618033</c:v>
                </c:pt>
                <c:pt idx="52">
                  <c:v>0.61778454843154706</c:v>
                </c:pt>
                <c:pt idx="53">
                  <c:v>0.61060736322831499</c:v>
                </c:pt>
                <c:pt idx="54">
                  <c:v>0.60045461884101148</c:v>
                </c:pt>
                <c:pt idx="55">
                  <c:v>0.594398012682545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FD75-43A4-858B-33AABBF14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08168"/>
        <c:axId val="624999312"/>
      </c:lineChart>
      <c:dateAx>
        <c:axId val="5873740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374656"/>
        <c:crosses val="autoZero"/>
        <c:auto val="1"/>
        <c:lblOffset val="100"/>
        <c:baseTimeUnit val="days"/>
      </c:dateAx>
      <c:valAx>
        <c:axId val="587374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>
                    <a:solidFill>
                      <a:schemeClr val="tx1"/>
                    </a:solidFill>
                  </a:rPr>
                  <a:t>Productible [kWh/kWc]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374000"/>
        <c:crosses val="autoZero"/>
        <c:crossBetween val="between"/>
      </c:valAx>
      <c:valAx>
        <c:axId val="6249993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5008168"/>
        <c:crosses val="max"/>
        <c:crossBetween val="between"/>
      </c:valAx>
      <c:dateAx>
        <c:axId val="625008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24999312"/>
        <c:crosses val="autoZero"/>
        <c:auto val="1"/>
        <c:lblOffset val="100"/>
        <c:baseTimeUnit val="days"/>
      </c:date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111033542714654E-3"/>
          <c:y val="0.93111384309666345"/>
          <c:w val="0.15956537345562771"/>
          <c:h val="4.7258655559583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chemeClr val="tx1"/>
                </a:solidFill>
              </a:rPr>
              <a:t>Productible kWh/kWc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Théorique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'Gain productible Mensuel'!$A$3:$A$14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'Gain productible Mensuel'!$S$3:$S$14</c:f>
              <c:numCache>
                <c:formatCode>0</c:formatCode>
                <c:ptCount val="12"/>
                <c:pt idx="0">
                  <c:v>52.403068509642502</c:v>
                </c:pt>
                <c:pt idx="1">
                  <c:v>71.442672981314686</c:v>
                </c:pt>
                <c:pt idx="2">
                  <c:v>106.53076372559941</c:v>
                </c:pt>
                <c:pt idx="3">
                  <c:v>132.5287436873945</c:v>
                </c:pt>
                <c:pt idx="4">
                  <c:v>141.4868801622514</c:v>
                </c:pt>
                <c:pt idx="5">
                  <c:v>151.35608923243606</c:v>
                </c:pt>
                <c:pt idx="6">
                  <c:v>148.27054498900313</c:v>
                </c:pt>
                <c:pt idx="7">
                  <c:v>139.87183485358614</c:v>
                </c:pt>
                <c:pt idx="8">
                  <c:v>115.45117431140197</c:v>
                </c:pt>
                <c:pt idx="9">
                  <c:v>85.940293196791103</c:v>
                </c:pt>
                <c:pt idx="10">
                  <c:v>48.653722727632946</c:v>
                </c:pt>
                <c:pt idx="11">
                  <c:v>35.3815511822852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0-4048-9FAB-7442BDD6B207}"/>
            </c:ext>
          </c:extLst>
        </c:ser>
        <c:ser>
          <c:idx val="1"/>
          <c:order val="1"/>
          <c:tx>
            <c:strRef>
              <c:f>'Gain productible Mensuel'!$I$2</c:f>
              <c:strCache>
                <c:ptCount val="1"/>
                <c:pt idx="0">
                  <c:v>Dinsheim BELIGHT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'Gain productible Mensuel'!$A$3:$A$14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'Gain productible Mensuel'!$I$3:$I$14</c:f>
              <c:numCache>
                <c:formatCode>0</c:formatCode>
                <c:ptCount val="12"/>
                <c:pt idx="0">
                  <c:v>53.210122808632853</c:v>
                </c:pt>
                <c:pt idx="1">
                  <c:v>77.18318041400174</c:v>
                </c:pt>
                <c:pt idx="2">
                  <c:v>138.79831050476963</c:v>
                </c:pt>
                <c:pt idx="3">
                  <c:v>145.37315804363374</c:v>
                </c:pt>
                <c:pt idx="4">
                  <c:v>156.3854155254316</c:v>
                </c:pt>
                <c:pt idx="5">
                  <c:v>155.78636057158758</c:v>
                </c:pt>
                <c:pt idx="6">
                  <c:v>166.77109752533445</c:v>
                </c:pt>
                <c:pt idx="7">
                  <c:v>150.42991375136356</c:v>
                </c:pt>
                <c:pt idx="8">
                  <c:v>133.38349041315541</c:v>
                </c:pt>
                <c:pt idx="9">
                  <c:v>101.11547788593302</c:v>
                </c:pt>
                <c:pt idx="10">
                  <c:v>48.039387486888806</c:v>
                </c:pt>
                <c:pt idx="11">
                  <c:v>28.773143480130646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70-4048-9FAB-7442BDD6B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3501904"/>
        <c:axId val="1103500240"/>
      </c:lineChart>
      <c:catAx>
        <c:axId val="110350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0240"/>
        <c:crosses val="autoZero"/>
        <c:auto val="1"/>
        <c:lblAlgn val="ctr"/>
        <c:lblOffset val="100"/>
        <c:noMultiLvlLbl val="0"/>
      </c:catAx>
      <c:valAx>
        <c:axId val="110350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'Théorique vs Expérimental'!$R$28</c:f>
              <c:strCache>
                <c:ptCount val="1"/>
                <c:pt idx="0">
                  <c:v>Measured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'Théorique vs Expérimental'!$A$29:$A$40</c:f>
              <c:strCache>
                <c:ptCount val="12"/>
                <c:pt idx="0">
                  <c:v>Jan.</c:v>
                </c:pt>
                <c:pt idx="1">
                  <c:v>Feb.</c:v>
                </c:pt>
                <c:pt idx="2">
                  <c:v>Mar.</c:v>
                </c:pt>
                <c:pt idx="3">
                  <c:v>Apr.</c:v>
                </c:pt>
                <c:pt idx="4">
                  <c:v>May</c:v>
                </c:pt>
                <c:pt idx="5">
                  <c:v>Jun.</c:v>
                </c:pt>
                <c:pt idx="6">
                  <c:v>Jul.</c:v>
                </c:pt>
                <c:pt idx="7">
                  <c:v>Aug.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Dec.</c:v>
                </c:pt>
              </c:strCache>
            </c:strRef>
          </c:cat>
          <c:val>
            <c:numRef>
              <c:f>'Théorique vs Expérimental'!$R$29:$R$40</c:f>
              <c:numCache>
                <c:formatCode>0%</c:formatCode>
                <c:ptCount val="12"/>
                <c:pt idx="0">
                  <c:v>0.80614887507055699</c:v>
                </c:pt>
                <c:pt idx="1">
                  <c:v>1.0587768342295603</c:v>
                </c:pt>
                <c:pt idx="2">
                  <c:v>0.68291981437665727</c:v>
                </c:pt>
                <c:pt idx="3">
                  <c:v>0.6205901841461946</c:v>
                </c:pt>
                <c:pt idx="4">
                  <c:v>0.32156871707113682</c:v>
                </c:pt>
                <c:pt idx="5">
                  <c:v>0.22340025594311871</c:v>
                </c:pt>
                <c:pt idx="6">
                  <c:v>0.20208760727291708</c:v>
                </c:pt>
                <c:pt idx="7">
                  <c:v>0.30685702031554951</c:v>
                </c:pt>
                <c:pt idx="8">
                  <c:v>0.3090081838040335</c:v>
                </c:pt>
                <c:pt idx="9">
                  <c:v>0.41195591967160167</c:v>
                </c:pt>
                <c:pt idx="10">
                  <c:v>0.59730385516853879</c:v>
                </c:pt>
                <c:pt idx="11">
                  <c:v>0.67819842417775733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F-41F2-BC84-7FA0CB0A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99832584"/>
        <c:axId val="699830616"/>
      </c:barChart>
      <c:lineChart>
        <c:grouping val="standard"/>
        <c:varyColors val="0"/>
        <c:ser>
          <c:idx val="0"/>
          <c:order val="0"/>
          <c:tx>
            <c:strRef>
              <c:f>'Théorique vs Expérimental'!$Q$28</c:f>
              <c:strCache>
                <c:ptCount val="1"/>
                <c:pt idx="0">
                  <c:v>Simulated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accent5"/>
                </a:solidFill>
              </a:ln>
              <a:effectLst/>
            </c:spPr>
          </c:marker>
          <c:cat>
            <c:strRef>
              <c:f>'Théorique vs Expérimental'!$A$29:$A$40</c:f>
              <c:strCache>
                <c:ptCount val="12"/>
                <c:pt idx="0">
                  <c:v>Jan.</c:v>
                </c:pt>
                <c:pt idx="1">
                  <c:v>Feb.</c:v>
                </c:pt>
                <c:pt idx="2">
                  <c:v>Mar.</c:v>
                </c:pt>
                <c:pt idx="3">
                  <c:v>Apr.</c:v>
                </c:pt>
                <c:pt idx="4">
                  <c:v>May</c:v>
                </c:pt>
                <c:pt idx="5">
                  <c:v>Jun.</c:v>
                </c:pt>
                <c:pt idx="6">
                  <c:v>Jul.</c:v>
                </c:pt>
                <c:pt idx="7">
                  <c:v>Aug.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Dec.</c:v>
                </c:pt>
              </c:strCache>
            </c:strRef>
          </c:cat>
          <c:val>
            <c:numRef>
              <c:f>'Théorique vs Expérimental'!$Q$29:$Q$40</c:f>
              <c:numCache>
                <c:formatCode>0%</c:formatCode>
                <c:ptCount val="12"/>
                <c:pt idx="0">
                  <c:v>1.1464496646142142</c:v>
                </c:pt>
                <c:pt idx="1">
                  <c:v>0.79543657966518988</c:v>
                </c:pt>
                <c:pt idx="2">
                  <c:v>0.40003277273725829</c:v>
                </c:pt>
                <c:pt idx="3">
                  <c:v>0.17774353302142637</c:v>
                </c:pt>
                <c:pt idx="4">
                  <c:v>8.5320977628642977E-2</c:v>
                </c:pt>
                <c:pt idx="5">
                  <c:v>2.1819884223060207E-2</c:v>
                </c:pt>
                <c:pt idx="6">
                  <c:v>3.8059006227300643E-2</c:v>
                </c:pt>
                <c:pt idx="7">
                  <c:v>0.12111607489335083</c:v>
                </c:pt>
                <c:pt idx="8">
                  <c:v>0.31537423648586843</c:v>
                </c:pt>
                <c:pt idx="9">
                  <c:v>0.67530285628264786</c:v>
                </c:pt>
                <c:pt idx="10">
                  <c:v>1.0150044449787214</c:v>
                </c:pt>
                <c:pt idx="11">
                  <c:v>1.1302052120964354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0CF-41F2-BC84-7FA0CB0A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32584"/>
        <c:axId val="699830616"/>
      </c:lineChart>
      <c:catAx>
        <c:axId val="699832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9830616"/>
        <c:crosses val="autoZero"/>
        <c:auto val="1"/>
        <c:lblAlgn val="ctr"/>
        <c:lblOffset val="100"/>
        <c:noMultiLvlLbl val="0"/>
      </c:catAx>
      <c:valAx>
        <c:axId val="699830616"/>
        <c:scaling>
          <c:orientation val="minMax"/>
          <c:max val="1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>
                    <a:solidFill>
                      <a:schemeClr val="tx1"/>
                    </a:solidFill>
                  </a:rPr>
                  <a:t>Gain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9832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'Théorique vs Expérimental'!$D$16:$N$16</c:f>
              <c:numCache>
                <c:formatCode>0</c:formatCode>
                <c:ptCount val="11"/>
                <c:pt idx="0">
                  <c:v>71.442672981314686</c:v>
                </c:pt>
                <c:pt idx="1">
                  <c:v>106.53076372559941</c:v>
                </c:pt>
                <c:pt idx="2">
                  <c:v>132.5287436873945</c:v>
                </c:pt>
                <c:pt idx="3">
                  <c:v>141.4868801622514</c:v>
                </c:pt>
                <c:pt idx="4">
                  <c:v>151.35608923243606</c:v>
                </c:pt>
                <c:pt idx="5">
                  <c:v>148.27054498900313</c:v>
                </c:pt>
                <c:pt idx="6">
                  <c:v>139.87183485358614</c:v>
                </c:pt>
                <c:pt idx="7">
                  <c:v>115.45117431140197</c:v>
                </c:pt>
                <c:pt idx="8">
                  <c:v>85.940293196791103</c:v>
                </c:pt>
                <c:pt idx="9">
                  <c:v>48.653722727632946</c:v>
                </c:pt>
                <c:pt idx="10">
                  <c:v>35.3815511822852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D9-417A-9A45-1C036C7E6F53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'Théorique vs Expérimental'!$D$21:$J$21</c:f>
              <c:numCache>
                <c:formatCode>_(* #,##0.00_);_(* \(#,##0.00\);_(* "-"??_);_(@_)</c:formatCode>
                <c:ptCount val="7"/>
                <c:pt idx="0">
                  <c:v>68.155804446192306</c:v>
                </c:pt>
                <c:pt idx="1">
                  <c:v>125.89860543679663</c:v>
                </c:pt>
                <c:pt idx="2">
                  <c:v>150.99120272507665</c:v>
                </c:pt>
                <c:pt idx="3">
                  <c:v>132.24013338331318</c:v>
                </c:pt>
                <c:pt idx="4">
                  <c:v>141.15293339737994</c:v>
                </c:pt>
                <c:pt idx="5">
                  <c:v>147.42077748134633</c:v>
                </c:pt>
                <c:pt idx="6">
                  <c:v>153.68862156531301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D9-417A-9A45-1C036C7E6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03501488"/>
        <c:axId val="1103502320"/>
      </c:barChart>
      <c:catAx>
        <c:axId val="1103501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2320"/>
        <c:crosses val="autoZero"/>
        <c:auto val="1"/>
        <c:lblAlgn val="ctr"/>
        <c:lblOffset val="100"/>
        <c:noMultiLvlLbl val="0"/>
      </c:catAx>
      <c:valAx>
        <c:axId val="110350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'Théorique vs Expérimental'!$R$28</c:f>
              <c:strCache>
                <c:ptCount val="1"/>
                <c:pt idx="0">
                  <c:v>Measured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'Théorique vs Expérimental'!$A$29:$A$40</c:f>
              <c:strCache>
                <c:ptCount val="12"/>
                <c:pt idx="0">
                  <c:v>Jan.</c:v>
                </c:pt>
                <c:pt idx="1">
                  <c:v>Feb.</c:v>
                </c:pt>
                <c:pt idx="2">
                  <c:v>Mar.</c:v>
                </c:pt>
                <c:pt idx="3">
                  <c:v>Apr.</c:v>
                </c:pt>
                <c:pt idx="4">
                  <c:v>May</c:v>
                </c:pt>
                <c:pt idx="5">
                  <c:v>Jun.</c:v>
                </c:pt>
                <c:pt idx="6">
                  <c:v>Jul.</c:v>
                </c:pt>
                <c:pt idx="7">
                  <c:v>Aug.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Dec.</c:v>
                </c:pt>
              </c:strCache>
            </c:strRef>
          </c:cat>
          <c:val>
            <c:numRef>
              <c:f>'Théorique vs Expérimental'!$R$29:$R$40</c:f>
              <c:numCache>
                <c:formatCode>0%</c:formatCode>
                <c:ptCount val="12"/>
                <c:pt idx="0">
                  <c:v>0.80614887507055699</c:v>
                </c:pt>
                <c:pt idx="1">
                  <c:v>1.0587768342295603</c:v>
                </c:pt>
                <c:pt idx="2">
                  <c:v>0.68291981437665727</c:v>
                </c:pt>
                <c:pt idx="3">
                  <c:v>0.6205901841461946</c:v>
                </c:pt>
                <c:pt idx="4">
                  <c:v>0.32156871707113682</c:v>
                </c:pt>
                <c:pt idx="5">
                  <c:v>0.22340025594311871</c:v>
                </c:pt>
                <c:pt idx="6">
                  <c:v>0.20208760727291708</c:v>
                </c:pt>
                <c:pt idx="7">
                  <c:v>0.30685702031554951</c:v>
                </c:pt>
                <c:pt idx="8">
                  <c:v>0.3090081838040335</c:v>
                </c:pt>
                <c:pt idx="9">
                  <c:v>0.41195591967160167</c:v>
                </c:pt>
                <c:pt idx="10">
                  <c:v>0.59730385516853879</c:v>
                </c:pt>
                <c:pt idx="11">
                  <c:v>0.67819842417775733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0-4B47-BD0A-C47A7D4D9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99832584"/>
        <c:axId val="699830616"/>
      </c:barChart>
      <c:lineChart>
        <c:grouping val="standard"/>
        <c:varyColors val="0"/>
        <c:ser>
          <c:idx val="0"/>
          <c:order val="0"/>
          <c:tx>
            <c:strRef>
              <c:f>'Théorique vs Expérimental'!$Q$28</c:f>
              <c:strCache>
                <c:ptCount val="1"/>
                <c:pt idx="0">
                  <c:v>Simulated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accent5"/>
                </a:solidFill>
              </a:ln>
              <a:effectLst/>
            </c:spPr>
          </c:marker>
          <c:cat>
            <c:strRef>
              <c:f>'Théorique vs Expérimental'!$A$29:$A$40</c:f>
              <c:strCache>
                <c:ptCount val="12"/>
                <c:pt idx="0">
                  <c:v>Jan.</c:v>
                </c:pt>
                <c:pt idx="1">
                  <c:v>Feb.</c:v>
                </c:pt>
                <c:pt idx="2">
                  <c:v>Mar.</c:v>
                </c:pt>
                <c:pt idx="3">
                  <c:v>Apr.</c:v>
                </c:pt>
                <c:pt idx="4">
                  <c:v>May</c:v>
                </c:pt>
                <c:pt idx="5">
                  <c:v>Jun.</c:v>
                </c:pt>
                <c:pt idx="6">
                  <c:v>Jul.</c:v>
                </c:pt>
                <c:pt idx="7">
                  <c:v>Aug.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Dec.</c:v>
                </c:pt>
              </c:strCache>
            </c:strRef>
          </c:cat>
          <c:val>
            <c:numRef>
              <c:f>'Théorique vs Expérimental'!$Q$29:$Q$40</c:f>
              <c:numCache>
                <c:formatCode>0%</c:formatCode>
                <c:ptCount val="12"/>
                <c:pt idx="0">
                  <c:v>1.1464496646142142</c:v>
                </c:pt>
                <c:pt idx="1">
                  <c:v>0.79543657966518988</c:v>
                </c:pt>
                <c:pt idx="2">
                  <c:v>0.40003277273725829</c:v>
                </c:pt>
                <c:pt idx="3">
                  <c:v>0.17774353302142637</c:v>
                </c:pt>
                <c:pt idx="4">
                  <c:v>8.5320977628642977E-2</c:v>
                </c:pt>
                <c:pt idx="5">
                  <c:v>2.1819884223060207E-2</c:v>
                </c:pt>
                <c:pt idx="6">
                  <c:v>3.8059006227300643E-2</c:v>
                </c:pt>
                <c:pt idx="7">
                  <c:v>0.12111607489335083</c:v>
                </c:pt>
                <c:pt idx="8">
                  <c:v>0.31537423648586843</c:v>
                </c:pt>
                <c:pt idx="9">
                  <c:v>0.67530285628264786</c:v>
                </c:pt>
                <c:pt idx="10">
                  <c:v>1.0150044449787214</c:v>
                </c:pt>
                <c:pt idx="11">
                  <c:v>1.1302052120964354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B0-4B47-BD0A-C47A7D4D9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32584"/>
        <c:axId val="699830616"/>
      </c:lineChart>
      <c:catAx>
        <c:axId val="699832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9830616"/>
        <c:crosses val="autoZero"/>
        <c:auto val="1"/>
        <c:lblAlgn val="ctr"/>
        <c:lblOffset val="100"/>
        <c:noMultiLvlLbl val="0"/>
      </c:catAx>
      <c:valAx>
        <c:axId val="699830616"/>
        <c:scaling>
          <c:orientation val="minMax"/>
          <c:max val="1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>
                    <a:solidFill>
                      <a:schemeClr val="tx1"/>
                    </a:solidFill>
                  </a:rPr>
                  <a:t>Gain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9832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477160320039845E-2"/>
          <c:y val="1.5304990577147817E-2"/>
          <c:w val="0.86418999362313664"/>
          <c:h val="0.780011833977623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'Gain productible Journalier'!$R$1</c:f>
              <c:strCache>
                <c:ptCount val="1"/>
                <c:pt idx="0">
                  <c:v>Gain de productible Journalier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numRef>
              <c:f>'Gain productible Journalier'!$A$3:$A$58</c:f>
              <c:numCache>
                <c:formatCode>m/d/yyyy</c:formatCode>
                <c:ptCount val="56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44233</c:v>
                </c:pt>
                <c:pt idx="6">
                  <c:v>44234</c:v>
                </c:pt>
                <c:pt idx="7">
                  <c:v>44235</c:v>
                </c:pt>
                <c:pt idx="8">
                  <c:v>44236</c:v>
                </c:pt>
                <c:pt idx="9">
                  <c:v>44237</c:v>
                </c:pt>
                <c:pt idx="10">
                  <c:v>44238</c:v>
                </c:pt>
                <c:pt idx="11">
                  <c:v>44239</c:v>
                </c:pt>
                <c:pt idx="12">
                  <c:v>44240</c:v>
                </c:pt>
                <c:pt idx="13">
                  <c:v>44241</c:v>
                </c:pt>
                <c:pt idx="14">
                  <c:v>44242</c:v>
                </c:pt>
                <c:pt idx="15">
                  <c:v>44243</c:v>
                </c:pt>
                <c:pt idx="16">
                  <c:v>44244</c:v>
                </c:pt>
                <c:pt idx="17">
                  <c:v>44245</c:v>
                </c:pt>
                <c:pt idx="18">
                  <c:v>44246</c:v>
                </c:pt>
                <c:pt idx="19">
                  <c:v>44247</c:v>
                </c:pt>
                <c:pt idx="20">
                  <c:v>44248</c:v>
                </c:pt>
                <c:pt idx="21">
                  <c:v>44249</c:v>
                </c:pt>
                <c:pt idx="22">
                  <c:v>44250</c:v>
                </c:pt>
                <c:pt idx="23">
                  <c:v>44251</c:v>
                </c:pt>
                <c:pt idx="24">
                  <c:v>44252</c:v>
                </c:pt>
                <c:pt idx="25">
                  <c:v>44253</c:v>
                </c:pt>
                <c:pt idx="26">
                  <c:v>44254</c:v>
                </c:pt>
                <c:pt idx="27">
                  <c:v>44255</c:v>
                </c:pt>
                <c:pt idx="28">
                  <c:v>44256</c:v>
                </c:pt>
                <c:pt idx="29">
                  <c:v>44257</c:v>
                </c:pt>
                <c:pt idx="30">
                  <c:v>44258</c:v>
                </c:pt>
                <c:pt idx="31">
                  <c:v>44259</c:v>
                </c:pt>
                <c:pt idx="32">
                  <c:v>44260</c:v>
                </c:pt>
                <c:pt idx="33">
                  <c:v>44261</c:v>
                </c:pt>
                <c:pt idx="34">
                  <c:v>44262</c:v>
                </c:pt>
                <c:pt idx="35">
                  <c:v>44263</c:v>
                </c:pt>
                <c:pt idx="36">
                  <c:v>44264</c:v>
                </c:pt>
                <c:pt idx="37">
                  <c:v>44265</c:v>
                </c:pt>
                <c:pt idx="38">
                  <c:v>44266</c:v>
                </c:pt>
                <c:pt idx="39">
                  <c:v>44267</c:v>
                </c:pt>
                <c:pt idx="40">
                  <c:v>44268</c:v>
                </c:pt>
                <c:pt idx="41">
                  <c:v>44269</c:v>
                </c:pt>
                <c:pt idx="42">
                  <c:v>44270</c:v>
                </c:pt>
                <c:pt idx="43">
                  <c:v>44271</c:v>
                </c:pt>
                <c:pt idx="44">
                  <c:v>44272</c:v>
                </c:pt>
                <c:pt idx="45">
                  <c:v>44273</c:v>
                </c:pt>
                <c:pt idx="46">
                  <c:v>44274</c:v>
                </c:pt>
                <c:pt idx="47">
                  <c:v>44275</c:v>
                </c:pt>
                <c:pt idx="48">
                  <c:v>44276</c:v>
                </c:pt>
                <c:pt idx="49">
                  <c:v>44277</c:v>
                </c:pt>
                <c:pt idx="50">
                  <c:v>44278</c:v>
                </c:pt>
                <c:pt idx="51">
                  <c:v>44279</c:v>
                </c:pt>
                <c:pt idx="52">
                  <c:v>44280</c:v>
                </c:pt>
                <c:pt idx="53">
                  <c:v>44281</c:v>
                </c:pt>
                <c:pt idx="54">
                  <c:v>44282</c:v>
                </c:pt>
                <c:pt idx="55">
                  <c:v>44283</c:v>
                </c:pt>
              </c:numCache>
            </c:numRef>
          </c:cat>
          <c:val>
            <c:numRef>
              <c:f>'Gain productible Journalier'!$R$3:$R$58</c:f>
              <c:numCache>
                <c:formatCode>0%</c:formatCode>
                <c:ptCount val="56"/>
                <c:pt idx="0">
                  <c:v>0.14975859383723344</c:v>
                </c:pt>
                <c:pt idx="1">
                  <c:v>8.7403365931149585E-2</c:v>
                </c:pt>
                <c:pt idx="2">
                  <c:v>-3.1800418920402744E-2</c:v>
                </c:pt>
                <c:pt idx="3">
                  <c:v>0.45248183941607129</c:v>
                </c:pt>
                <c:pt idx="4">
                  <c:v>-3.4576882634703029E-2</c:v>
                </c:pt>
                <c:pt idx="5">
                  <c:v>0.10888808481822893</c:v>
                </c:pt>
                <c:pt idx="6">
                  <c:v>0.12091646248705018</c:v>
                </c:pt>
                <c:pt idx="7">
                  <c:v>6.2045825598731216E-2</c:v>
                </c:pt>
                <c:pt idx="8">
                  <c:v>0.33948109496542811</c:v>
                </c:pt>
                <c:pt idx="9">
                  <c:v>8.4163239576265241</c:v>
                </c:pt>
                <c:pt idx="10">
                  <c:v>26.567517111752569</c:v>
                </c:pt>
                <c:pt idx="11">
                  <c:v>8.1798307127543026</c:v>
                </c:pt>
                <c:pt idx="12">
                  <c:v>-0.37286674649751822</c:v>
                </c:pt>
                <c:pt idx="13">
                  <c:v>1.7390031430840667</c:v>
                </c:pt>
                <c:pt idx="14">
                  <c:v>0.19917929005691107</c:v>
                </c:pt>
                <c:pt idx="15">
                  <c:v>0.47335221145894657</c:v>
                </c:pt>
                <c:pt idx="16">
                  <c:v>0.73476164293656976</c:v>
                </c:pt>
                <c:pt idx="17">
                  <c:v>0.29013457235957035</c:v>
                </c:pt>
                <c:pt idx="18">
                  <c:v>0.49602910447244614</c:v>
                </c:pt>
                <c:pt idx="19">
                  <c:v>0.73581211953320491</c:v>
                </c:pt>
                <c:pt idx="20">
                  <c:v>0.89309745263334694</c:v>
                </c:pt>
                <c:pt idx="21">
                  <c:v>0.54315300290141644</c:v>
                </c:pt>
                <c:pt idx="22">
                  <c:v>0.79011921395746498</c:v>
                </c:pt>
                <c:pt idx="23">
                  <c:v>0.7584597260189655</c:v>
                </c:pt>
                <c:pt idx="24">
                  <c:v>0.83691274146283201</c:v>
                </c:pt>
                <c:pt idx="25">
                  <c:v>0.21122000864807056</c:v>
                </c:pt>
                <c:pt idx="26">
                  <c:v>0</c:v>
                </c:pt>
                <c:pt idx="27">
                  <c:v>0</c:v>
                </c:pt>
                <c:pt idx="28">
                  <c:v>0.37191857240715753</c:v>
                </c:pt>
                <c:pt idx="29">
                  <c:v>0.76624475694822847</c:v>
                </c:pt>
                <c:pt idx="30">
                  <c:v>0.22189018713120584</c:v>
                </c:pt>
                <c:pt idx="31">
                  <c:v>0.39909760150817014</c:v>
                </c:pt>
                <c:pt idx="32">
                  <c:v>1.6161744602295379E-2</c:v>
                </c:pt>
                <c:pt idx="33">
                  <c:v>0.70571168060711464</c:v>
                </c:pt>
                <c:pt idx="34">
                  <c:v>0.66122160644818617</c:v>
                </c:pt>
                <c:pt idx="35">
                  <c:v>0.66617973492749538</c:v>
                </c:pt>
                <c:pt idx="36">
                  <c:v>0.43462687896660995</c:v>
                </c:pt>
                <c:pt idx="37">
                  <c:v>0.26250884507633032</c:v>
                </c:pt>
                <c:pt idx="38">
                  <c:v>0.29501695511160542</c:v>
                </c:pt>
                <c:pt idx="39">
                  <c:v>0.36076404460324951</c:v>
                </c:pt>
                <c:pt idx="40">
                  <c:v>0.26250607973111312</c:v>
                </c:pt>
                <c:pt idx="41">
                  <c:v>0.17550202022659886</c:v>
                </c:pt>
                <c:pt idx="42">
                  <c:v>0.38929762496096648</c:v>
                </c:pt>
                <c:pt idx="43">
                  <c:v>0.16877548162561279</c:v>
                </c:pt>
                <c:pt idx="44">
                  <c:v>0.24190996107075655</c:v>
                </c:pt>
                <c:pt idx="45">
                  <c:v>0.33131169198054466</c:v>
                </c:pt>
                <c:pt idx="46">
                  <c:v>0.10751709971908963</c:v>
                </c:pt>
                <c:pt idx="47">
                  <c:v>0.38431894365109259</c:v>
                </c:pt>
                <c:pt idx="48">
                  <c:v>0.11039065522936772</c:v>
                </c:pt>
                <c:pt idx="49">
                  <c:v>2.8560395196234194E-2</c:v>
                </c:pt>
                <c:pt idx="50">
                  <c:v>0.16956614437014178</c:v>
                </c:pt>
                <c:pt idx="51">
                  <c:v>0.51442548670513011</c:v>
                </c:pt>
                <c:pt idx="52">
                  <c:v>0.39820974696862582</c:v>
                </c:pt>
                <c:pt idx="53">
                  <c:v>0.44092271510820952</c:v>
                </c:pt>
                <c:pt idx="54">
                  <c:v>0.25452224895630166</c:v>
                </c:pt>
                <c:pt idx="55">
                  <c:v>0.46227197627076183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89-4959-8F25-E14B031C3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7374000"/>
        <c:axId val="587374656"/>
      </c:barChart>
      <c:lineChart>
        <c:grouping val="standard"/>
        <c:varyColors val="0"/>
        <c:ser>
          <c:idx val="3"/>
          <c:order val="1"/>
          <c:tx>
            <c:strRef>
              <c:f>'Gain productible Journalier'!$X$2</c:f>
              <c:strCache>
                <c:ptCount val="1"/>
                <c:pt idx="0">
                  <c:v>Ensoleillement moyen [W/m2]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'Gain productible Journalier'!$A$3:$A$58</c:f>
              <c:numCache>
                <c:formatCode>m/d/yyyy</c:formatCode>
                <c:ptCount val="56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44233</c:v>
                </c:pt>
                <c:pt idx="6">
                  <c:v>44234</c:v>
                </c:pt>
                <c:pt idx="7">
                  <c:v>44235</c:v>
                </c:pt>
                <c:pt idx="8">
                  <c:v>44236</c:v>
                </c:pt>
                <c:pt idx="9">
                  <c:v>44237</c:v>
                </c:pt>
                <c:pt idx="10">
                  <c:v>44238</c:v>
                </c:pt>
                <c:pt idx="11">
                  <c:v>44239</c:v>
                </c:pt>
                <c:pt idx="12">
                  <c:v>44240</c:v>
                </c:pt>
                <c:pt idx="13">
                  <c:v>44241</c:v>
                </c:pt>
                <c:pt idx="14">
                  <c:v>44242</c:v>
                </c:pt>
                <c:pt idx="15">
                  <c:v>44243</c:v>
                </c:pt>
                <c:pt idx="16">
                  <c:v>44244</c:v>
                </c:pt>
                <c:pt idx="17">
                  <c:v>44245</c:v>
                </c:pt>
                <c:pt idx="18">
                  <c:v>44246</c:v>
                </c:pt>
                <c:pt idx="19">
                  <c:v>44247</c:v>
                </c:pt>
                <c:pt idx="20">
                  <c:v>44248</c:v>
                </c:pt>
                <c:pt idx="21">
                  <c:v>44249</c:v>
                </c:pt>
                <c:pt idx="22">
                  <c:v>44250</c:v>
                </c:pt>
                <c:pt idx="23">
                  <c:v>44251</c:v>
                </c:pt>
                <c:pt idx="24">
                  <c:v>44252</c:v>
                </c:pt>
                <c:pt idx="25">
                  <c:v>44253</c:v>
                </c:pt>
                <c:pt idx="26">
                  <c:v>44254</c:v>
                </c:pt>
                <c:pt idx="27">
                  <c:v>44255</c:v>
                </c:pt>
                <c:pt idx="28">
                  <c:v>44256</c:v>
                </c:pt>
                <c:pt idx="29">
                  <c:v>44257</c:v>
                </c:pt>
                <c:pt idx="30">
                  <c:v>44258</c:v>
                </c:pt>
                <c:pt idx="31">
                  <c:v>44259</c:v>
                </c:pt>
                <c:pt idx="32">
                  <c:v>44260</c:v>
                </c:pt>
                <c:pt idx="33">
                  <c:v>44261</c:v>
                </c:pt>
                <c:pt idx="34">
                  <c:v>44262</c:v>
                </c:pt>
                <c:pt idx="35">
                  <c:v>44263</c:v>
                </c:pt>
                <c:pt idx="36">
                  <c:v>44264</c:v>
                </c:pt>
                <c:pt idx="37">
                  <c:v>44265</c:v>
                </c:pt>
                <c:pt idx="38">
                  <c:v>44266</c:v>
                </c:pt>
                <c:pt idx="39">
                  <c:v>44267</c:v>
                </c:pt>
                <c:pt idx="40">
                  <c:v>44268</c:v>
                </c:pt>
                <c:pt idx="41">
                  <c:v>44269</c:v>
                </c:pt>
                <c:pt idx="42">
                  <c:v>44270</c:v>
                </c:pt>
                <c:pt idx="43">
                  <c:v>44271</c:v>
                </c:pt>
                <c:pt idx="44">
                  <c:v>44272</c:v>
                </c:pt>
                <c:pt idx="45">
                  <c:v>44273</c:v>
                </c:pt>
                <c:pt idx="46">
                  <c:v>44274</c:v>
                </c:pt>
                <c:pt idx="47">
                  <c:v>44275</c:v>
                </c:pt>
                <c:pt idx="48">
                  <c:v>44276</c:v>
                </c:pt>
                <c:pt idx="49">
                  <c:v>44277</c:v>
                </c:pt>
                <c:pt idx="50">
                  <c:v>44278</c:v>
                </c:pt>
                <c:pt idx="51">
                  <c:v>44279</c:v>
                </c:pt>
                <c:pt idx="52">
                  <c:v>44280</c:v>
                </c:pt>
                <c:pt idx="53">
                  <c:v>44281</c:v>
                </c:pt>
                <c:pt idx="54">
                  <c:v>44282</c:v>
                </c:pt>
                <c:pt idx="55">
                  <c:v>44283</c:v>
                </c:pt>
              </c:numCache>
            </c:numRef>
          </c:cat>
          <c:val>
            <c:numRef>
              <c:f>'Gain productible Journalier'!$X$3:$X$58</c:f>
              <c:numCache>
                <c:formatCode>0.00</c:formatCode>
                <c:ptCount val="56"/>
                <c:pt idx="0">
                  <c:v>31.23</c:v>
                </c:pt>
                <c:pt idx="1">
                  <c:v>22.79</c:v>
                </c:pt>
                <c:pt idx="2">
                  <c:v>21.87</c:v>
                </c:pt>
                <c:pt idx="3">
                  <c:v>52.32</c:v>
                </c:pt>
                <c:pt idx="4">
                  <c:v>9.85</c:v>
                </c:pt>
                <c:pt idx="5">
                  <c:v>6.44</c:v>
                </c:pt>
                <c:pt idx="6">
                  <c:v>24.41</c:v>
                </c:pt>
                <c:pt idx="7">
                  <c:v>16.77</c:v>
                </c:pt>
                <c:pt idx="8">
                  <c:v>8.64</c:v>
                </c:pt>
                <c:pt idx="9">
                  <c:v>9.74</c:v>
                </c:pt>
                <c:pt idx="10">
                  <c:v>92.69</c:v>
                </c:pt>
                <c:pt idx="11">
                  <c:v>112.28</c:v>
                </c:pt>
                <c:pt idx="12">
                  <c:v>121.28</c:v>
                </c:pt>
                <c:pt idx="13">
                  <c:v>119.03</c:v>
                </c:pt>
                <c:pt idx="14">
                  <c:v>44.56</c:v>
                </c:pt>
                <c:pt idx="15">
                  <c:v>75.22</c:v>
                </c:pt>
                <c:pt idx="16">
                  <c:v>104.07</c:v>
                </c:pt>
                <c:pt idx="17">
                  <c:v>71.66</c:v>
                </c:pt>
                <c:pt idx="18">
                  <c:v>69.69</c:v>
                </c:pt>
                <c:pt idx="19">
                  <c:v>105.74</c:v>
                </c:pt>
                <c:pt idx="20">
                  <c:v>178.58</c:v>
                </c:pt>
                <c:pt idx="21">
                  <c:v>93.35</c:v>
                </c:pt>
                <c:pt idx="22">
                  <c:v>118.72</c:v>
                </c:pt>
                <c:pt idx="23">
                  <c:v>117.99</c:v>
                </c:pt>
                <c:pt idx="24">
                  <c:v>131.21</c:v>
                </c:pt>
                <c:pt idx="25">
                  <c:v>148.29</c:v>
                </c:pt>
                <c:pt idx="26">
                  <c:v>148.29</c:v>
                </c:pt>
                <c:pt idx="27">
                  <c:v>150.47</c:v>
                </c:pt>
                <c:pt idx="28">
                  <c:v>150</c:v>
                </c:pt>
                <c:pt idx="29">
                  <c:v>148.22</c:v>
                </c:pt>
                <c:pt idx="30">
                  <c:v>68.599999999999994</c:v>
                </c:pt>
                <c:pt idx="31">
                  <c:v>87.4</c:v>
                </c:pt>
                <c:pt idx="32">
                  <c:v>27.02</c:v>
                </c:pt>
                <c:pt idx="33">
                  <c:v>163.69999999999999</c:v>
                </c:pt>
                <c:pt idx="34">
                  <c:v>149.38</c:v>
                </c:pt>
                <c:pt idx="35">
                  <c:v>155.97999999999999</c:v>
                </c:pt>
                <c:pt idx="36">
                  <c:v>122.31</c:v>
                </c:pt>
                <c:pt idx="37">
                  <c:v>69.06</c:v>
                </c:pt>
                <c:pt idx="38">
                  <c:v>77.2</c:v>
                </c:pt>
                <c:pt idx="39">
                  <c:v>122.38</c:v>
                </c:pt>
                <c:pt idx="40">
                  <c:v>70.69</c:v>
                </c:pt>
                <c:pt idx="41">
                  <c:v>74.680000000000007</c:v>
                </c:pt>
                <c:pt idx="42">
                  <c:v>106.37</c:v>
                </c:pt>
                <c:pt idx="43">
                  <c:v>75.08</c:v>
                </c:pt>
                <c:pt idx="44">
                  <c:v>66.430000000000007</c:v>
                </c:pt>
                <c:pt idx="45">
                  <c:v>147.38999999999999</c:v>
                </c:pt>
                <c:pt idx="46">
                  <c:v>64.010000000000005</c:v>
                </c:pt>
                <c:pt idx="47">
                  <c:v>156.63999999999999</c:v>
                </c:pt>
                <c:pt idx="48">
                  <c:v>59.13</c:v>
                </c:pt>
                <c:pt idx="49">
                  <c:v>47.17</c:v>
                </c:pt>
                <c:pt idx="50">
                  <c:v>86.37</c:v>
                </c:pt>
                <c:pt idx="51">
                  <c:v>212.5</c:v>
                </c:pt>
                <c:pt idx="52">
                  <c:v>144.21</c:v>
                </c:pt>
                <c:pt idx="53">
                  <c:v>194.72</c:v>
                </c:pt>
                <c:pt idx="54">
                  <c:v>139.19</c:v>
                </c:pt>
                <c:pt idx="55">
                  <c:v>231.16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389-4959-8F25-E14B031C304E}"/>
            </c:ext>
          </c:extLst>
        </c:ser>
        <c:ser>
          <c:idx val="4"/>
          <c:order val="2"/>
          <c:tx>
            <c:strRef>
              <c:f>'Gain productible Journalier'!$T$1:$V$1</c:f>
              <c:strCache>
                <c:ptCount val="1"/>
                <c:pt idx="0">
                  <c:v>Température [°C]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'Gain productible Journalier'!$A$3:$A$58</c:f>
              <c:numCache>
                <c:formatCode>m/d/yyyy</c:formatCode>
                <c:ptCount val="56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44233</c:v>
                </c:pt>
                <c:pt idx="6">
                  <c:v>44234</c:v>
                </c:pt>
                <c:pt idx="7">
                  <c:v>44235</c:v>
                </c:pt>
                <c:pt idx="8">
                  <c:v>44236</c:v>
                </c:pt>
                <c:pt idx="9">
                  <c:v>44237</c:v>
                </c:pt>
                <c:pt idx="10">
                  <c:v>44238</c:v>
                </c:pt>
                <c:pt idx="11">
                  <c:v>44239</c:v>
                </c:pt>
                <c:pt idx="12">
                  <c:v>44240</c:v>
                </c:pt>
                <c:pt idx="13">
                  <c:v>44241</c:v>
                </c:pt>
                <c:pt idx="14">
                  <c:v>44242</c:v>
                </c:pt>
                <c:pt idx="15">
                  <c:v>44243</c:v>
                </c:pt>
                <c:pt idx="16">
                  <c:v>44244</c:v>
                </c:pt>
                <c:pt idx="17">
                  <c:v>44245</c:v>
                </c:pt>
                <c:pt idx="18">
                  <c:v>44246</c:v>
                </c:pt>
                <c:pt idx="19">
                  <c:v>44247</c:v>
                </c:pt>
                <c:pt idx="20">
                  <c:v>44248</c:v>
                </c:pt>
                <c:pt idx="21">
                  <c:v>44249</c:v>
                </c:pt>
                <c:pt idx="22">
                  <c:v>44250</c:v>
                </c:pt>
                <c:pt idx="23">
                  <c:v>44251</c:v>
                </c:pt>
                <c:pt idx="24">
                  <c:v>44252</c:v>
                </c:pt>
                <c:pt idx="25">
                  <c:v>44253</c:v>
                </c:pt>
                <c:pt idx="26">
                  <c:v>44254</c:v>
                </c:pt>
                <c:pt idx="27">
                  <c:v>44255</c:v>
                </c:pt>
                <c:pt idx="28">
                  <c:v>44256</c:v>
                </c:pt>
                <c:pt idx="29">
                  <c:v>44257</c:v>
                </c:pt>
                <c:pt idx="30">
                  <c:v>44258</c:v>
                </c:pt>
                <c:pt idx="31">
                  <c:v>44259</c:v>
                </c:pt>
                <c:pt idx="32">
                  <c:v>44260</c:v>
                </c:pt>
                <c:pt idx="33">
                  <c:v>44261</c:v>
                </c:pt>
                <c:pt idx="34">
                  <c:v>44262</c:v>
                </c:pt>
                <c:pt idx="35">
                  <c:v>44263</c:v>
                </c:pt>
                <c:pt idx="36">
                  <c:v>44264</c:v>
                </c:pt>
                <c:pt idx="37">
                  <c:v>44265</c:v>
                </c:pt>
                <c:pt idx="38">
                  <c:v>44266</c:v>
                </c:pt>
                <c:pt idx="39">
                  <c:v>44267</c:v>
                </c:pt>
                <c:pt idx="40">
                  <c:v>44268</c:v>
                </c:pt>
                <c:pt idx="41">
                  <c:v>44269</c:v>
                </c:pt>
                <c:pt idx="42">
                  <c:v>44270</c:v>
                </c:pt>
                <c:pt idx="43">
                  <c:v>44271</c:v>
                </c:pt>
                <c:pt idx="44">
                  <c:v>44272</c:v>
                </c:pt>
                <c:pt idx="45">
                  <c:v>44273</c:v>
                </c:pt>
                <c:pt idx="46">
                  <c:v>44274</c:v>
                </c:pt>
                <c:pt idx="47">
                  <c:v>44275</c:v>
                </c:pt>
                <c:pt idx="48">
                  <c:v>44276</c:v>
                </c:pt>
                <c:pt idx="49">
                  <c:v>44277</c:v>
                </c:pt>
                <c:pt idx="50">
                  <c:v>44278</c:v>
                </c:pt>
                <c:pt idx="51">
                  <c:v>44279</c:v>
                </c:pt>
                <c:pt idx="52">
                  <c:v>44280</c:v>
                </c:pt>
                <c:pt idx="53">
                  <c:v>44281</c:v>
                </c:pt>
                <c:pt idx="54">
                  <c:v>44282</c:v>
                </c:pt>
                <c:pt idx="55">
                  <c:v>44283</c:v>
                </c:pt>
              </c:numCache>
            </c:numRef>
          </c:cat>
          <c:val>
            <c:numRef>
              <c:f>'Gain productible Journalier'!$V$3:$V$46</c:f>
              <c:numCache>
                <c:formatCode>_-* #\ ##0.0_-;\-* #\ ##0.0_-;_-* "-"??_-;_-@_-</c:formatCode>
                <c:ptCount val="44"/>
                <c:pt idx="0">
                  <c:v>7.3</c:v>
                </c:pt>
                <c:pt idx="1">
                  <c:v>9.9</c:v>
                </c:pt>
                <c:pt idx="2">
                  <c:v>11.4</c:v>
                </c:pt>
                <c:pt idx="3">
                  <c:v>8.6</c:v>
                </c:pt>
                <c:pt idx="4">
                  <c:v>7.7</c:v>
                </c:pt>
                <c:pt idx="5">
                  <c:v>7.5</c:v>
                </c:pt>
                <c:pt idx="6">
                  <c:v>6.6</c:v>
                </c:pt>
                <c:pt idx="7">
                  <c:v>1.8</c:v>
                </c:pt>
                <c:pt idx="8">
                  <c:v>-2.2999999999999998</c:v>
                </c:pt>
                <c:pt idx="9">
                  <c:v>-5.8</c:v>
                </c:pt>
                <c:pt idx="10">
                  <c:v>-7</c:v>
                </c:pt>
                <c:pt idx="11">
                  <c:v>-6.1</c:v>
                </c:pt>
                <c:pt idx="12">
                  <c:v>-5.4</c:v>
                </c:pt>
                <c:pt idx="13">
                  <c:v>-5.3</c:v>
                </c:pt>
                <c:pt idx="14">
                  <c:v>-0.9</c:v>
                </c:pt>
                <c:pt idx="15">
                  <c:v>6.5</c:v>
                </c:pt>
                <c:pt idx="16">
                  <c:v>8.3000000000000007</c:v>
                </c:pt>
                <c:pt idx="17">
                  <c:v>6</c:v>
                </c:pt>
                <c:pt idx="18">
                  <c:v>8.1999999999999993</c:v>
                </c:pt>
                <c:pt idx="19">
                  <c:v>7</c:v>
                </c:pt>
                <c:pt idx="20">
                  <c:v>1.3</c:v>
                </c:pt>
                <c:pt idx="21">
                  <c:v>6.74</c:v>
                </c:pt>
                <c:pt idx="22">
                  <c:v>7.75</c:v>
                </c:pt>
                <c:pt idx="23">
                  <c:v>10.29</c:v>
                </c:pt>
                <c:pt idx="24">
                  <c:v>10.53</c:v>
                </c:pt>
                <c:pt idx="25">
                  <c:v>5.81</c:v>
                </c:pt>
                <c:pt idx="26">
                  <c:v>6.5</c:v>
                </c:pt>
                <c:pt idx="27">
                  <c:v>5.81</c:v>
                </c:pt>
                <c:pt idx="28">
                  <c:v>5.45</c:v>
                </c:pt>
                <c:pt idx="29">
                  <c:v>5.85</c:v>
                </c:pt>
                <c:pt idx="30">
                  <c:v>6.74</c:v>
                </c:pt>
                <c:pt idx="31">
                  <c:v>8.69</c:v>
                </c:pt>
                <c:pt idx="32">
                  <c:v>5.13</c:v>
                </c:pt>
                <c:pt idx="33">
                  <c:v>3.12</c:v>
                </c:pt>
                <c:pt idx="34">
                  <c:v>3.35</c:v>
                </c:pt>
                <c:pt idx="35">
                  <c:v>2.89</c:v>
                </c:pt>
                <c:pt idx="36">
                  <c:v>4.0999999999999996</c:v>
                </c:pt>
                <c:pt idx="37">
                  <c:v>6.58</c:v>
                </c:pt>
                <c:pt idx="38">
                  <c:v>10.41</c:v>
                </c:pt>
                <c:pt idx="39">
                  <c:v>8.34</c:v>
                </c:pt>
                <c:pt idx="40">
                  <c:v>7.55</c:v>
                </c:pt>
                <c:pt idx="41">
                  <c:v>4.74</c:v>
                </c:pt>
                <c:pt idx="42">
                  <c:v>6.48</c:v>
                </c:pt>
                <c:pt idx="43">
                  <c:v>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89-4959-8F25-E14B031C3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08168"/>
        <c:axId val="624999312"/>
      </c:lineChart>
      <c:dateAx>
        <c:axId val="5873740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374656"/>
        <c:crossesAt val="1.0000000000000002E-2"/>
        <c:auto val="1"/>
        <c:lblOffset val="100"/>
        <c:baseTimeUnit val="days"/>
      </c:dateAx>
      <c:valAx>
        <c:axId val="587374656"/>
        <c:scaling>
          <c:logBase val="10"/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>
                    <a:solidFill>
                      <a:schemeClr val="tx1"/>
                    </a:solidFill>
                  </a:rPr>
                  <a:t>Gain de productible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374000"/>
        <c:crosses val="autoZero"/>
        <c:crossBetween val="between"/>
      </c:valAx>
      <c:valAx>
        <c:axId val="62499931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>
                    <a:solidFill>
                      <a:schemeClr val="tx1"/>
                    </a:solidFill>
                  </a:rPr>
                  <a:t>Ensoleillement (W/m</a:t>
                </a:r>
                <a:r>
                  <a:rPr lang="fr-FR" baseline="30000">
                    <a:solidFill>
                      <a:schemeClr val="tx1"/>
                    </a:solidFill>
                  </a:rPr>
                  <a:t>2</a:t>
                </a:r>
                <a:r>
                  <a:rPr lang="fr-FR">
                    <a:solidFill>
                      <a:schemeClr val="tx1"/>
                    </a:solidFill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5008168"/>
        <c:crosses val="max"/>
        <c:crossBetween val="between"/>
      </c:valAx>
      <c:dateAx>
        <c:axId val="625008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249993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365701674087282"/>
          <c:w val="1"/>
          <c:h val="0.11634299516908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720308433045064E-2"/>
          <c:y val="3.2522820693310257E-2"/>
          <c:w val="0.86418999362313664"/>
          <c:h val="0.780011833977623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'Gain productible Mensuel'!$N$1</c:f>
              <c:strCache>
                <c:ptCount val="1"/>
                <c:pt idx="0">
                  <c:v>Gain de productible Mensuel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'Gain productible Mensuel'!$A$3:$A$5</c:f>
              <c:strCache>
                <c:ptCount val="3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</c:strCache>
            </c:strRef>
          </c:cat>
          <c:val>
            <c:numRef>
              <c:f>'Gain productible Mensuel'!$N$3:$N$5</c:f>
              <c:numCache>
                <c:formatCode>0%</c:formatCode>
                <c:ptCount val="3"/>
                <c:pt idx="0">
                  <c:v>1.0587768342295603</c:v>
                </c:pt>
                <c:pt idx="1">
                  <c:v>0.68291981437665727</c:v>
                </c:pt>
                <c:pt idx="2">
                  <c:v>0.6205901841461946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6-47A7-A032-177A0CEA8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7374000"/>
        <c:axId val="587374656"/>
      </c:barChart>
      <c:lineChart>
        <c:grouping val="standard"/>
        <c:varyColors val="0"/>
        <c:ser>
          <c:idx val="3"/>
          <c:order val="1"/>
          <c:tx>
            <c:strRef>
              <c:f>'Gain productible Mensuel'!#REF!</c:f>
              <c:strCache>
                <c:ptCount val="1"/>
                <c:pt idx="0">
                  <c:v>#REF!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'Gain productible Mensuel'!$A$3:$A$5</c:f>
              <c:strCache>
                <c:ptCount val="3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</c:strCache>
            </c:strRef>
          </c:cat>
          <c:val>
            <c:numRef>
              <c:f>'Gain productible Mensuel'!#REF!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896-47A7-A032-177A0CEA891A}"/>
            </c:ext>
          </c:extLst>
        </c:ser>
        <c:ser>
          <c:idx val="4"/>
          <c:order val="2"/>
          <c:tx>
            <c:strRef>
              <c:f>'Gain productible Mensuel'!#REF!</c:f>
              <c:strCache>
                <c:ptCount val="1"/>
                <c:pt idx="0">
                  <c:v>#REF!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'Gain productible Mensuel'!$A$3:$A$5</c:f>
              <c:strCache>
                <c:ptCount val="3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</c:strCache>
            </c:strRef>
          </c:cat>
          <c:val>
            <c:numRef>
              <c:f>'Gain productible Mensuel'!#REF!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6-47A7-A032-177A0CEA8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08168"/>
        <c:axId val="624999312"/>
      </c:lineChart>
      <c:catAx>
        <c:axId val="58737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374656"/>
        <c:crossesAt val="1.0000000000000002E-2"/>
        <c:auto val="1"/>
        <c:lblAlgn val="ctr"/>
        <c:lblOffset val="100"/>
        <c:noMultiLvlLbl val="1"/>
      </c:catAx>
      <c:valAx>
        <c:axId val="587374656"/>
        <c:scaling>
          <c:logBase val="10"/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>
                    <a:solidFill>
                      <a:schemeClr val="tx1"/>
                    </a:solidFill>
                  </a:rPr>
                  <a:t>Gain de productible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7374000"/>
        <c:crosses val="autoZero"/>
        <c:crossBetween val="between"/>
      </c:valAx>
      <c:valAx>
        <c:axId val="62499931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>
                    <a:solidFill>
                      <a:schemeClr val="tx1"/>
                    </a:solidFill>
                  </a:rPr>
                  <a:t>Ensoleillement (W/m</a:t>
                </a:r>
                <a:r>
                  <a:rPr lang="fr-FR" baseline="30000">
                    <a:solidFill>
                      <a:schemeClr val="tx1"/>
                    </a:solidFill>
                  </a:rPr>
                  <a:t>2</a:t>
                </a:r>
                <a:r>
                  <a:rPr lang="fr-FR">
                    <a:solidFill>
                      <a:schemeClr val="tx1"/>
                    </a:solidFill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190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5008168"/>
        <c:crosses val="max"/>
        <c:crossBetween val="between"/>
      </c:valAx>
      <c:catAx>
        <c:axId val="625008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4999312"/>
        <c:crosses val="autoZero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365696695597418"/>
          <c:w val="1"/>
          <c:h val="0.116342962992834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 b="1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4.3391498554576274E-2"/>
          <c:y val="0.10062669832313927"/>
          <c:w val="0.91365456104828213"/>
          <c:h val="0.84101417449857996"/>
        </c:manualLayout>
      </c:layout>
      <c:scatterChart>
        <c:scatterStyle val="smoothMarker"/>
        <c:varyColors val="0"/>
        <c:ser>
          <c:idx val="0"/>
          <c:order val="0"/>
          <c:tx>
            <c:v>Gain de productible cumulé (kWh/kWc)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'Gain productible Mensuel'!$A$3:$A$14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xVal>
          <c:yVal>
            <c:numRef>
              <c:f>'Gain productible Mensuel'!$O$3:$O$14</c:f>
              <c:numCache>
                <c:formatCode>0%</c:formatCode>
                <c:ptCount val="12"/>
                <c:pt idx="0">
                  <c:v>1.0587768342295603</c:v>
                </c:pt>
                <c:pt idx="1">
                  <c:v>0.81838854248381565</c:v>
                </c:pt>
                <c:pt idx="2">
                  <c:v>0.71072880871726762</c:v>
                </c:pt>
                <c:pt idx="3">
                  <c:v>0.55061313867084272</c:v>
                </c:pt>
                <c:pt idx="4">
                  <c:v>0.4447709399152795</c:v>
                </c:pt>
                <c:pt idx="5">
                  <c:v>0.38483936896133486</c:v>
                </c:pt>
                <c:pt idx="6">
                  <c:v>0.36958550389473699</c:v>
                </c:pt>
                <c:pt idx="7">
                  <c:v>0.36051293959592984</c:v>
                </c:pt>
                <c:pt idx="8">
                  <c:v>0.36615205769806652</c:v>
                </c:pt>
                <c:pt idx="9">
                  <c:v>0.38196988325580716</c:v>
                </c:pt>
                <c:pt idx="10">
                  <c:v>0.39086118749927778</c:v>
                </c:pt>
                <c:pt idx="11">
                  <c:v>0.39768414626440546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70-477E-8775-06AE47C9D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98752"/>
        <c:axId val="137599584"/>
      </c:scatterChart>
      <c:valAx>
        <c:axId val="13759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C]d\-mmm\-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7599584"/>
        <c:crosses val="autoZero"/>
        <c:crossBetween val="midCat"/>
        <c:majorUnit val="31"/>
      </c:valAx>
      <c:valAx>
        <c:axId val="13759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7598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chemeClr val="tx1"/>
                </a:solidFill>
              </a:rPr>
              <a:t>Productible (kWh/kWc/an)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3E-41D5-9045-4655B698C7F2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'Gain productible Mensuel'!$H$2:$I$2</c:f>
              <c:strCache>
                <c:ptCount val="2"/>
                <c:pt idx="0">
                  <c:v>Dinsheim EPI</c:v>
                </c:pt>
                <c:pt idx="1">
                  <c:v>Dinsheim BELIGHT</c:v>
                </c:pt>
              </c:strCache>
            </c:strRef>
          </c:cat>
          <c:val>
            <c:numRef>
              <c:f>'Gain productible Mensuel'!$J$14:$K$14</c:f>
              <c:numCache>
                <c:formatCode>0.00</c:formatCode>
                <c:ptCount val="2"/>
                <c:pt idx="0">
                  <c:v>969.63900036574137</c:v>
                </c:pt>
                <c:pt idx="1">
                  <c:v>1355.2490584108627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E-41D5-9045-4655B698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03501904"/>
        <c:axId val="1103500240"/>
      </c:barChart>
      <c:catAx>
        <c:axId val="110350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0240"/>
        <c:crosses val="autoZero"/>
        <c:auto val="1"/>
        <c:lblAlgn val="ctr"/>
        <c:lblOffset val="100"/>
        <c:noMultiLvlLbl val="0"/>
      </c:catAx>
      <c:valAx>
        <c:axId val="1103500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0350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chemeClr val="tx1"/>
                </a:solidFill>
              </a:rPr>
              <a:t>Productible kWh/kWc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'Gain productible Mensuel'!$H$2</c:f>
              <c:strCache>
                <c:ptCount val="1"/>
                <c:pt idx="0">
                  <c:v>Dinsheim EPI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'Gain productible Mensuel'!$A$3:$A$14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'Gain productible Mensuel'!$H$3:$H$14</c:f>
              <c:numCache>
                <c:formatCode>0</c:formatCode>
                <c:ptCount val="12"/>
                <c:pt idx="0">
                  <c:v>25.845502982136118</c:v>
                </c:pt>
                <c:pt idx="1">
                  <c:v>45.862660689267535</c:v>
                </c:pt>
                <c:pt idx="2">
                  <c:v>85.646767370675704</c:v>
                </c:pt>
                <c:pt idx="3">
                  <c:v>110.00045337469096</c:v>
                </c:pt>
                <c:pt idx="4">
                  <c:v>127.82849665571972</c:v>
                </c:pt>
                <c:pt idx="5">
                  <c:v>129.59651162614347</c:v>
                </c:pt>
                <c:pt idx="6">
                  <c:v>127.61235156778393</c:v>
                </c:pt>
                <c:pt idx="7">
                  <c:v>114.91900173932284</c:v>
                </c:pt>
                <c:pt idx="8">
                  <c:v>94.46717744855539</c:v>
                </c:pt>
                <c:pt idx="9">
                  <c:v>63.303846390118345</c:v>
                </c:pt>
                <c:pt idx="10">
                  <c:v>28.625570608806864</c:v>
                </c:pt>
                <c:pt idx="11">
                  <c:v>15.93065991252057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B-4E2E-8F6F-1C0F335844E7}"/>
            </c:ext>
          </c:extLst>
        </c:ser>
        <c:ser>
          <c:idx val="1"/>
          <c:order val="1"/>
          <c:tx>
            <c:strRef>
              <c:f>'Gain productible Mensuel'!$I$2</c:f>
              <c:strCache>
                <c:ptCount val="1"/>
                <c:pt idx="0">
                  <c:v>Dinsheim BELIGHT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'Gain productible Mensuel'!$A$3:$A$14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'Gain productible Mensuel'!$I$3:$I$14</c:f>
              <c:numCache>
                <c:formatCode>0</c:formatCode>
                <c:ptCount val="12"/>
                <c:pt idx="0">
                  <c:v>53.210122808632853</c:v>
                </c:pt>
                <c:pt idx="1">
                  <c:v>77.18318041400174</c:v>
                </c:pt>
                <c:pt idx="2">
                  <c:v>138.79831050476963</c:v>
                </c:pt>
                <c:pt idx="3">
                  <c:v>145.37315804363374</c:v>
                </c:pt>
                <c:pt idx="4">
                  <c:v>156.3854155254316</c:v>
                </c:pt>
                <c:pt idx="5">
                  <c:v>155.78636057158758</c:v>
                </c:pt>
                <c:pt idx="6">
                  <c:v>166.77109752533445</c:v>
                </c:pt>
                <c:pt idx="7">
                  <c:v>150.42991375136356</c:v>
                </c:pt>
                <c:pt idx="8">
                  <c:v>133.38349041315541</c:v>
                </c:pt>
                <c:pt idx="9">
                  <c:v>101.11547788593302</c:v>
                </c:pt>
                <c:pt idx="10">
                  <c:v>48.039387486888806</c:v>
                </c:pt>
                <c:pt idx="11">
                  <c:v>28.773143480130646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B-4E2E-8F6F-1C0F33584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3501904"/>
        <c:axId val="1103500240"/>
      </c:lineChart>
      <c:catAx>
        <c:axId val="110350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0240"/>
        <c:crosses val="autoZero"/>
        <c:auto val="1"/>
        <c:lblAlgn val="ctr"/>
        <c:lblOffset val="100"/>
        <c:noMultiLvlLbl val="0"/>
      </c:catAx>
      <c:valAx>
        <c:axId val="110350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chemeClr val="tx1"/>
                </a:solidFill>
              </a:rPr>
              <a:t>Gain</a:t>
            </a:r>
            <a:r>
              <a:rPr lang="fr-FR" b="1" baseline="0">
                <a:solidFill>
                  <a:schemeClr val="tx1"/>
                </a:solidFill>
              </a:rPr>
              <a:t> de productible (%)</a:t>
            </a:r>
            <a:endParaRPr lang="fr-FR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'Gain productible Mensuel'!$N$1</c:f>
              <c:strCache>
                <c:ptCount val="1"/>
                <c:pt idx="0">
                  <c:v>Gain de productible Mensuel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'Gain productible Mensuel'!$A$3:$A$14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'Gain productible Mensuel'!$N$3:$N$14</c:f>
              <c:numCache>
                <c:formatCode>0%</c:formatCode>
                <c:ptCount val="12"/>
                <c:pt idx="0">
                  <c:v>1.0587768342295603</c:v>
                </c:pt>
                <c:pt idx="1">
                  <c:v>0.68291981437665727</c:v>
                </c:pt>
                <c:pt idx="2">
                  <c:v>0.6205901841461946</c:v>
                </c:pt>
                <c:pt idx="3">
                  <c:v>0.32156871707113682</c:v>
                </c:pt>
                <c:pt idx="4">
                  <c:v>0.22340025594311871</c:v>
                </c:pt>
                <c:pt idx="5">
                  <c:v>0.20208760727291708</c:v>
                </c:pt>
                <c:pt idx="6">
                  <c:v>0.30685702031554951</c:v>
                </c:pt>
                <c:pt idx="7">
                  <c:v>0.3090081838040335</c:v>
                </c:pt>
                <c:pt idx="8">
                  <c:v>0.41195591967160167</c:v>
                </c:pt>
                <c:pt idx="9">
                  <c:v>0.59730385516853879</c:v>
                </c:pt>
                <c:pt idx="10">
                  <c:v>0.67819842417775733</c:v>
                </c:pt>
                <c:pt idx="11">
                  <c:v>0.80614887507055699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F-4FEB-954C-0F6003311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3501904"/>
        <c:axId val="1103500240"/>
      </c:lineChart>
      <c:catAx>
        <c:axId val="110350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0240"/>
        <c:crosses val="autoZero"/>
        <c:auto val="1"/>
        <c:lblAlgn val="ctr"/>
        <c:lblOffset val="100"/>
        <c:noMultiLvlLbl val="0"/>
      </c:catAx>
      <c:valAx>
        <c:axId val="110350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chemeClr val="tx1"/>
                </a:solidFill>
              </a:rPr>
              <a:t>Productible kWh/m</a:t>
            </a:r>
            <a:r>
              <a:rPr lang="fr-FR" b="1" baseline="30000">
                <a:solidFill>
                  <a:schemeClr val="tx1"/>
                </a:solidFill>
              </a:rPr>
              <a:t>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Gain BELIGHT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'Gain productible Mensuel'!$A$3:$A$14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'Gain productible Mensuel'!$Q$3:$Q$14</c:f>
              <c:numCache>
                <c:formatCode>General</c:formatCode>
                <c:ptCount val="12"/>
                <c:pt idx="0">
                  <c:v>0.61957882284905519</c:v>
                </c:pt>
                <c:pt idx="1">
                  <c:v>0.32390322574106745</c:v>
                </c:pt>
                <c:pt idx="2">
                  <c:v>0.27487034977369879</c:v>
                </c:pt>
                <c:pt idx="3">
                  <c:v>3.9639008717128547E-2</c:v>
                </c:pt>
                <c:pt idx="4">
                  <c:v>-3.7587215160660881E-2</c:v>
                </c:pt>
                <c:pt idx="5">
                  <c:v>-5.4353245296218419E-2</c:v>
                </c:pt>
                <c:pt idx="6">
                  <c:v>2.8065752151686944E-2</c:v>
                </c:pt>
                <c:pt idx="7">
                  <c:v>2.9758008822011697E-2</c:v>
                </c:pt>
                <c:pt idx="8">
                  <c:v>0.11074394673391087</c:v>
                </c:pt>
                <c:pt idx="9">
                  <c:v>0.25655168373517168</c:v>
                </c:pt>
                <c:pt idx="10">
                  <c:v>0.32018904776246843</c:v>
                </c:pt>
                <c:pt idx="11">
                  <c:v>0.4208438818341344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0E-45CD-9AF2-31556B615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5012832"/>
        <c:axId val="695016440"/>
      </c:barChart>
      <c:lineChart>
        <c:grouping val="standard"/>
        <c:varyColors val="0"/>
        <c:ser>
          <c:idx val="0"/>
          <c:order val="0"/>
          <c:tx>
            <c:strRef>
              <c:f>'Gain productible Mensuel'!$H$2</c:f>
              <c:strCache>
                <c:ptCount val="1"/>
                <c:pt idx="0">
                  <c:v>Dinsheim EPI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'Gain productible Mensuel'!$A$3:$A$14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'Gain productible Mensuel'!$L$3:$L$14</c:f>
              <c:numCache>
                <c:formatCode>0.00</c:formatCode>
                <c:ptCount val="12"/>
                <c:pt idx="0">
                  <c:v>2.8862382388420058</c:v>
                </c:pt>
                <c:pt idx="1">
                  <c:v>5.1216091676719095</c:v>
                </c:pt>
                <c:pt idx="2">
                  <c:v>9.564409529553652</c:v>
                </c:pt>
                <c:pt idx="3">
                  <c:v>12.284052472858859</c:v>
                </c:pt>
                <c:pt idx="4">
                  <c:v>14.274958986730956</c:v>
                </c:pt>
                <c:pt idx="5">
                  <c:v>14.472398069963701</c:v>
                </c:pt>
                <c:pt idx="6">
                  <c:v>14.250821471652634</c:v>
                </c:pt>
                <c:pt idx="7">
                  <c:v>12.833320265379918</c:v>
                </c:pt>
                <c:pt idx="8">
                  <c:v>10.549408926417378</c:v>
                </c:pt>
                <c:pt idx="9">
                  <c:v>7.0693142340168587</c:v>
                </c:pt>
                <c:pt idx="10">
                  <c:v>3.1966960193003637</c:v>
                </c:pt>
                <c:pt idx="11">
                  <c:v>1.7790205066345399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E-45CD-9AF2-31556B615AAC}"/>
            </c:ext>
          </c:extLst>
        </c:ser>
        <c:ser>
          <c:idx val="1"/>
          <c:order val="2"/>
          <c:tx>
            <c:strRef>
              <c:f>'Gain productible Mensuel'!$I$2</c:f>
              <c:strCache>
                <c:ptCount val="1"/>
                <c:pt idx="0">
                  <c:v>Dinsheim BELIGHT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'Gain productible Mensuel'!$A$3:$A$14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'Gain productible Mensuel'!$M$3:$M$14</c:f>
              <c:numCache>
                <c:formatCode>0.00</c:formatCode>
                <c:ptCount val="12"/>
                <c:pt idx="0">
                  <c:v>4.6744903293256659</c:v>
                </c:pt>
                <c:pt idx="1">
                  <c:v>6.7805148980658645</c:v>
                </c:pt>
                <c:pt idx="2">
                  <c:v>12.193382122320962</c:v>
                </c:pt>
                <c:pt idx="3">
                  <c:v>12.770980135912176</c:v>
                </c:pt>
                <c:pt idx="4">
                  <c:v>13.73840303188709</c:v>
                </c:pt>
                <c:pt idx="5">
                  <c:v>13.685776267642446</c:v>
                </c:pt>
                <c:pt idx="6">
                  <c:v>14.650781495033975</c:v>
                </c:pt>
                <c:pt idx="7">
                  <c:v>13.215214323052795</c:v>
                </c:pt>
                <c:pt idx="8">
                  <c:v>11.717692106638788</c:v>
                </c:pt>
                <c:pt idx="9">
                  <c:v>8.8829587036068993</c:v>
                </c:pt>
                <c:pt idx="10">
                  <c:v>4.2202430737062206</c:v>
                </c:pt>
                <c:pt idx="11">
                  <c:v>2.5277104025091481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E-45CD-9AF2-31556B615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501904"/>
        <c:axId val="1103500240"/>
      </c:lineChart>
      <c:catAx>
        <c:axId val="110350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0240"/>
        <c:crosses val="autoZero"/>
        <c:auto val="1"/>
        <c:lblAlgn val="ctr"/>
        <c:lblOffset val="100"/>
        <c:noMultiLvlLbl val="0"/>
      </c:catAx>
      <c:valAx>
        <c:axId val="110350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1904"/>
        <c:crosses val="autoZero"/>
        <c:crossBetween val="between"/>
      </c:valAx>
      <c:valAx>
        <c:axId val="695016440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5012832"/>
        <c:crosses val="max"/>
        <c:crossBetween val="between"/>
      </c:valAx>
      <c:catAx>
        <c:axId val="69501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0164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fr-FR" b="1">
                <a:solidFill>
                  <a:schemeClr val="tx1"/>
                </a:solidFill>
              </a:rPr>
              <a:t>Productible kWh/m</a:t>
            </a:r>
            <a:r>
              <a:rPr lang="fr-FR" b="1" baseline="30000">
                <a:solidFill>
                  <a:schemeClr val="tx1"/>
                </a:solidFill>
              </a:rPr>
              <a:t>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Gain BELIGHT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'Gain productible Mensuel'!$A$3:$A$14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'Gain productible Mensuel'!$Q$3:$Q$14</c:f>
              <c:numCache>
                <c:formatCode>General</c:formatCode>
                <c:ptCount val="12"/>
                <c:pt idx="0">
                  <c:v>0.61957882284905519</c:v>
                </c:pt>
                <c:pt idx="1">
                  <c:v>0.32390322574106745</c:v>
                </c:pt>
                <c:pt idx="2">
                  <c:v>0.27487034977369879</c:v>
                </c:pt>
                <c:pt idx="3">
                  <c:v>3.9639008717128547E-2</c:v>
                </c:pt>
                <c:pt idx="4">
                  <c:v>-3.7587215160660881E-2</c:v>
                </c:pt>
                <c:pt idx="5">
                  <c:v>-5.4353245296218419E-2</c:v>
                </c:pt>
                <c:pt idx="6">
                  <c:v>2.8065752151686944E-2</c:v>
                </c:pt>
                <c:pt idx="7">
                  <c:v>2.9758008822011697E-2</c:v>
                </c:pt>
                <c:pt idx="8">
                  <c:v>0.11074394673391087</c:v>
                </c:pt>
                <c:pt idx="9">
                  <c:v>0.25655168373517168</c:v>
                </c:pt>
                <c:pt idx="10">
                  <c:v>0.32018904776246843</c:v>
                </c:pt>
                <c:pt idx="11">
                  <c:v>0.4208438818341344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8-4E18-A7F2-AF9C7BDA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501904"/>
        <c:axId val="1103500240"/>
      </c:barChart>
      <c:catAx>
        <c:axId val="110350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0240"/>
        <c:crosses val="autoZero"/>
        <c:auto val="1"/>
        <c:lblAlgn val="ctr"/>
        <c:lblOffset val="100"/>
        <c:noMultiLvlLbl val="0"/>
      </c:catAx>
      <c:valAx>
        <c:axId val="110350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0350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347382</xdr:colOff>
      <xdr:row>84</xdr:row>
      <xdr:rowOff>145228</xdr:rowOff>
    </xdr:from>
    <xdr:to>
      <xdr:col>25</xdr:col>
      <xdr:colOff>1471780</xdr:colOff>
      <xdr:row>113</xdr:row>
      <xdr:rowOff>36034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1C89BF07-99EF-434E-9BB6-DACDE2BB44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328780</xdr:colOff>
      <xdr:row>114</xdr:row>
      <xdr:rowOff>73173</xdr:rowOff>
    </xdr:from>
    <xdr:to>
      <xdr:col>25</xdr:col>
      <xdr:colOff>535977</xdr:colOff>
      <xdr:row>143</xdr:row>
      <xdr:rowOff>179293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E53E6B71-7F3B-41DE-96FF-96502A5FE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64530</xdr:colOff>
      <xdr:row>59</xdr:row>
      <xdr:rowOff>90591</xdr:rowOff>
    </xdr:from>
    <xdr:to>
      <xdr:col>15</xdr:col>
      <xdr:colOff>861060</xdr:colOff>
      <xdr:row>94</xdr:row>
      <xdr:rowOff>95250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3F6CE599-498D-43A4-9699-21ECFBE9C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133620</xdr:colOff>
      <xdr:row>21</xdr:row>
      <xdr:rowOff>172937</xdr:rowOff>
    </xdr:from>
    <xdr:to>
      <xdr:col>12</xdr:col>
      <xdr:colOff>125170</xdr:colOff>
      <xdr:row>50</xdr:row>
      <xdr:rowOff>26076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D11A114A-B945-4F00-BDC6-2CFEA438DC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467816</xdr:colOff>
      <xdr:row>19</xdr:row>
      <xdr:rowOff>57967</xdr:rowOff>
    </xdr:from>
    <xdr:to>
      <xdr:col>15</xdr:col>
      <xdr:colOff>270512</xdr:colOff>
      <xdr:row>36</xdr:row>
      <xdr:rowOff>149952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669C3FE4-01FC-496A-B588-9CA867258C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435428</xdr:colOff>
      <xdr:row>38</xdr:row>
      <xdr:rowOff>27215</xdr:rowOff>
    </xdr:from>
    <xdr:to>
      <xdr:col>15</xdr:col>
      <xdr:colOff>238124</xdr:colOff>
      <xdr:row>55</xdr:row>
      <xdr:rowOff>119200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F446CA94-3CE6-4E0B-8BD5-A72C21629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736024</xdr:colOff>
      <xdr:row>17</xdr:row>
      <xdr:rowOff>75458</xdr:rowOff>
    </xdr:from>
    <xdr:to>
      <xdr:col>27</xdr:col>
      <xdr:colOff>168853</xdr:colOff>
      <xdr:row>34</xdr:row>
      <xdr:rowOff>167443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6ABB2732-2432-4FF2-B3F0-E421F2A78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2459195</xdr:colOff>
      <xdr:row>18</xdr:row>
      <xdr:rowOff>97954</xdr:rowOff>
    </xdr:from>
    <xdr:to>
      <xdr:col>19</xdr:col>
      <xdr:colOff>510764</xdr:colOff>
      <xdr:row>35</xdr:row>
      <xdr:rowOff>174923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8A07FBD3-042A-458A-AC39-FB4CC573B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41</xdr:row>
      <xdr:rowOff>0</xdr:rowOff>
    </xdr:from>
    <xdr:to>
      <xdr:col>23</xdr:col>
      <xdr:colOff>213631</xdr:colOff>
      <xdr:row>58</xdr:row>
      <xdr:rowOff>91985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A7DA1885-9F33-40D8-A504-8B4B20DFA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61</xdr:row>
      <xdr:rowOff>0</xdr:rowOff>
    </xdr:from>
    <xdr:to>
      <xdr:col>23</xdr:col>
      <xdr:colOff>201014</xdr:colOff>
      <xdr:row>78</xdr:row>
      <xdr:rowOff>91985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ED64DB0A-0911-4CE5-A7E3-B08D647E8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0.37207</cdr:x>
      <cdr:y>0.20322</cdr:y>
    </cdr:from>
    <cdr:to>
      <cdr:x>0.62729</cdr:x>
      <cdr:y>0.39524</cdr:y>
    </cdr:to>
    <cdr:cxnSp macro="">
      <cdr:nvCxnSpPr>
        <cdr:cNvPr id="3" name="Connecteur droit avec flèche 2">
          <a:extLst xmlns:a="http://schemas.openxmlformats.org/drawingml/2006/main">
            <a:ext uri="{FF2B5EF4-FFF2-40B4-BE49-F238E27FC236}">
              <a16:creationId xmlns:a16="http://schemas.microsoft.com/office/drawing/2014/main" id="{52C83B05-4A9A-79EA-4D04-B584D4A7E481}"/>
            </a:ext>
          </a:extLst>
        </cdr:cNvPr>
        <cdr:cNvCxnSpPr/>
      </cdr:nvCxnSpPr>
      <cdr:spPr>
        <a:xfrm xmlns:a="http://schemas.openxmlformats.org/drawingml/2006/main" flipV="1">
          <a:off x="2063112" y="676819"/>
          <a:ext cx="1415143" cy="639536"/>
        </a:xfrm>
        <a:prstGeom xmlns:a="http://schemas.openxmlformats.org/drawingml/2006/main" prst="straightConnector1">
          <a:avLst/>
        </a:prstGeom>
        <a:ln xmlns:a="http://schemas.openxmlformats.org/drawingml/2006/main" w="57150">
          <a:solidFill>
            <a:schemeClr val="accent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0.41379</cdr:x>
      <cdr:y>0.19096</cdr:y>
    </cdr:from>
    <cdr:to>
      <cdr:x>0.51931</cdr:x>
      <cdr:y>0.27676</cdr:y>
    </cdr:to>
    <cdr:sp macro="" textlink="">
      <cdr:nvSpPr>
        <cdr:cNvPr id="4" name="ZoneTexte 3">
          <a:extLst xmlns:a="http://schemas.openxmlformats.org/drawingml/2006/main">
            <a:ext uri="{FF2B5EF4-FFF2-40B4-BE49-F238E27FC236}">
              <a16:creationId xmlns:a16="http://schemas.microsoft.com/office/drawing/2014/main" id="{38FCD1E7-69C7-3430-DA0A-EAAE3B405134}"/>
            </a:ext>
          </a:extLst>
        </cdr:cNvPr>
        <cdr:cNvSpPr txBox="1"/>
      </cdr:nvSpPr>
      <cdr:spPr>
        <a:xfrm xmlns:a="http://schemas.openxmlformats.org/drawingml/2006/main">
          <a:off x="2294434" y="635998"/>
          <a:ext cx="585107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600" b="1">
              <a:solidFill>
                <a:schemeClr val="accent6"/>
              </a:solidFill>
            </a:rPr>
            <a:t>+40 %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234315</xdr:colOff>
      <xdr:row>1</xdr:row>
      <xdr:rowOff>66932</xdr:rowOff>
    </xdr:from>
    <xdr:to>
      <xdr:col>8</xdr:col>
      <xdr:colOff>549035</xdr:colOff>
      <xdr:row>18</xdr:row>
      <xdr:rowOff>140970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F9A06FC-AAB2-4CFE-B3E6-3DEB69D7E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315" y="247907"/>
          <a:ext cx="6639320" cy="3150613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1</xdr:row>
      <xdr:rowOff>69396</xdr:rowOff>
    </xdr:from>
    <xdr:to>
      <xdr:col>16</xdr:col>
      <xdr:colOff>784075</xdr:colOff>
      <xdr:row>29</xdr:row>
      <xdr:rowOff>22105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53052B8-4C46-4C94-BD67-02D305060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1500" y="250371"/>
          <a:ext cx="5237965" cy="5023819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</xdr:colOff>
      <xdr:row>25</xdr:row>
      <xdr:rowOff>177165</xdr:rowOff>
    </xdr:from>
    <xdr:to>
      <xdr:col>8</xdr:col>
      <xdr:colOff>417195</xdr:colOff>
      <xdr:row>50</xdr:row>
      <xdr:rowOff>66361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7CC9746-18CE-4B14-93D6-EB05E1301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4865" y="4701540"/>
          <a:ext cx="5916930" cy="44154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29</xdr:row>
      <xdr:rowOff>119062</xdr:rowOff>
    </xdr:from>
    <xdr:to>
      <xdr:col>11</xdr:col>
      <xdr:colOff>522450</xdr:colOff>
      <xdr:row>44</xdr:row>
      <xdr:rowOff>4762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2DEF8FC-863A-46BD-A836-0F4705D74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348341</xdr:colOff>
      <xdr:row>24</xdr:row>
      <xdr:rowOff>70755</xdr:rowOff>
    </xdr:from>
    <xdr:to>
      <xdr:col>32</xdr:col>
      <xdr:colOff>217713</xdr:colOff>
      <xdr:row>51</xdr:row>
      <xdr:rowOff>185055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C0B4EF3B-7964-4A34-9750-67E9F493CD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533400</xdr:colOff>
      <xdr:row>46</xdr:row>
      <xdr:rowOff>76199</xdr:rowOff>
    </xdr:from>
    <xdr:to>
      <xdr:col>12</xdr:col>
      <xdr:colOff>35314</xdr:colOff>
      <xdr:row>60</xdr:row>
      <xdr:rowOff>152399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FFC761BB-8B07-4E0E-8AD8-C511952AE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09%20Projets%20de%20recherche\R02%20-%20BE%20LIGHT\25%20-%20Outil%20de%20simulation%20du%20productible\Gain%20BELIGHT%20par%20mois\210407%20-%20Nouveau%20fichi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"/>
      <sheetName val="Cal"/>
      <sheetName val="FF"/>
      <sheetName val="Ville"/>
      <sheetName val="Résultats"/>
    </sheetNames>
    <sheetDataSet>
      <sheetData sheetId="0">
        <row r="10">
          <cell r="B10">
            <v>0.2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3E2A5-8F39-43FC-9746-C0EA7D7215D7}">
  <sheetPr codeName="Feuil1"/>
  <dimension ref="A1:U39"/>
  <sheetViews>
    <sheetView workbookViewId="0">
      <selection activeCell="C13" sqref="C13"/>
    </sheetView>
  </sheetViews>
  <sheetFormatPr baseColWidth="10" defaultRowHeight="14.4" x14ac:dyDescent="0.3"/>
  <cols>
    <col min="1" max="1" width="24.5546875" bestFit="1" customWidth="1"/>
    <col min="2" max="2" width="22.6640625" bestFit="1" customWidth="1"/>
    <col min="3" max="3" width="25.109375" bestFit="1" customWidth="1"/>
    <col min="4" max="4" width="19" style="1" bestFit="1" customWidth="1"/>
    <col min="5" max="5" width="13" style="1" bestFit="1" customWidth="1"/>
    <col min="6" max="21" width="11.44140625" style="1"/>
  </cols>
  <sheetData>
    <row r="1" spans="1:5" ht="15" thickBot="1" x14ac:dyDescent="0.35">
      <c r="A1" s="2" t="s">
        <v>0</v>
      </c>
      <c r="B1" s="2" t="s">
        <v>8</v>
      </c>
      <c r="C1" s="2" t="s">
        <v>33</v>
      </c>
      <c r="D1" s="48" t="s">
        <v>39</v>
      </c>
      <c r="E1" s="62" t="s">
        <v>50</v>
      </c>
    </row>
    <row r="2" spans="1:5" x14ac:dyDescent="0.3">
      <c r="A2" s="3" t="s">
        <v>1</v>
      </c>
      <c r="B2" s="4">
        <v>99.96</v>
      </c>
      <c r="C2" s="4">
        <v>17.28</v>
      </c>
      <c r="D2" s="4">
        <v>278.24</v>
      </c>
      <c r="E2" s="4">
        <v>250</v>
      </c>
    </row>
    <row r="3" spans="1:5" x14ac:dyDescent="0.3">
      <c r="A3" s="5" t="s">
        <v>3</v>
      </c>
      <c r="B3" s="17" t="s">
        <v>14</v>
      </c>
      <c r="C3" s="17" t="s">
        <v>46</v>
      </c>
      <c r="D3" s="17" t="s">
        <v>21</v>
      </c>
      <c r="E3" s="17" t="s">
        <v>46</v>
      </c>
    </row>
    <row r="4" spans="1:5" x14ac:dyDescent="0.3">
      <c r="A4" s="6" t="s">
        <v>4</v>
      </c>
      <c r="B4" s="18" t="s">
        <v>19</v>
      </c>
      <c r="C4" s="18" t="s">
        <v>20</v>
      </c>
      <c r="D4" s="18" t="s">
        <v>19</v>
      </c>
      <c r="E4" s="18" t="s">
        <v>19</v>
      </c>
    </row>
    <row r="5" spans="1:5" x14ac:dyDescent="0.3">
      <c r="A5" s="5" t="s">
        <v>6</v>
      </c>
      <c r="B5" s="17" t="s">
        <v>11</v>
      </c>
      <c r="C5" s="17" t="s">
        <v>5</v>
      </c>
      <c r="D5" s="17" t="s">
        <v>40</v>
      </c>
      <c r="E5" s="17" t="s">
        <v>51</v>
      </c>
    </row>
    <row r="6" spans="1:5" s="1" customFormat="1" x14ac:dyDescent="0.3">
      <c r="A6" s="6" t="s">
        <v>9</v>
      </c>
      <c r="B6" s="18" t="s">
        <v>10</v>
      </c>
      <c r="C6" s="18" t="s">
        <v>22</v>
      </c>
      <c r="D6" s="18" t="s">
        <v>41</v>
      </c>
      <c r="E6" s="18" t="s">
        <v>52</v>
      </c>
    </row>
    <row r="7" spans="1:5" s="1" customFormat="1" x14ac:dyDescent="0.3">
      <c r="A7" s="5" t="s">
        <v>12</v>
      </c>
      <c r="B7" s="17" t="s">
        <v>13</v>
      </c>
      <c r="C7" s="17" t="s">
        <v>13</v>
      </c>
      <c r="D7" s="17" t="s">
        <v>42</v>
      </c>
      <c r="E7" s="17" t="s">
        <v>13</v>
      </c>
    </row>
    <row r="8" spans="1:5" s="1" customFormat="1" x14ac:dyDescent="0.3">
      <c r="A8" s="5" t="s">
        <v>15</v>
      </c>
      <c r="B8" s="20">
        <v>40665</v>
      </c>
      <c r="C8" s="20">
        <v>44228</v>
      </c>
      <c r="D8" s="20">
        <v>43405</v>
      </c>
      <c r="E8" s="20">
        <v>42354</v>
      </c>
    </row>
    <row r="9" spans="1:5" s="1" customFormat="1" x14ac:dyDescent="0.3">
      <c r="A9" s="6" t="s">
        <v>17</v>
      </c>
      <c r="B9" s="19">
        <f>1.5%</f>
        <v>1.4999999999999999E-2</v>
      </c>
      <c r="C9" s="19">
        <f>1.5%</f>
        <v>1.4999999999999999E-2</v>
      </c>
      <c r="D9" s="19">
        <f>1.5%</f>
        <v>1.4999999999999999E-2</v>
      </c>
      <c r="E9" s="19">
        <f>1.5%</f>
        <v>1.4999999999999999E-2</v>
      </c>
    </row>
    <row r="10" spans="1:5" s="1" customFormat="1" x14ac:dyDescent="0.3">
      <c r="A10" s="5" t="s">
        <v>16</v>
      </c>
      <c r="B10" s="21">
        <v>5.0000000000000001E-3</v>
      </c>
      <c r="C10" s="21">
        <v>5.0000000000000001E-3</v>
      </c>
      <c r="D10" s="21">
        <v>5.0000000000000001E-3</v>
      </c>
      <c r="E10" s="21">
        <v>5.0000000000000001E-3</v>
      </c>
    </row>
    <row r="11" spans="1:5" s="1" customFormat="1" x14ac:dyDescent="0.3">
      <c r="A11" s="6" t="s">
        <v>18</v>
      </c>
      <c r="B11" s="22">
        <f ca="1">B2*(1-B9)*(1-B10)^((TODAY()-B8)/365.25)</f>
        <v>92.5767048005915</v>
      </c>
      <c r="C11" s="47">
        <f ca="1">C2*(1-C9)*(1-C10)^((TODAY()-C8)/365.25)</f>
        <v>16.805636837487612</v>
      </c>
      <c r="D11" s="47">
        <f ca="1">D2*(1-D9)*(1-D10)^((TODAY()-D8)/365.25)</f>
        <v>267.56275248033347</v>
      </c>
      <c r="E11" s="47">
        <f ca="1">E2*(1-E9)*(1-E10)^((TODAY()-E8)/365.25)</f>
        <v>236.96382682238897</v>
      </c>
    </row>
    <row r="12" spans="1:5" s="1" customFormat="1" x14ac:dyDescent="0.3">
      <c r="A12" s="5" t="s">
        <v>45</v>
      </c>
      <c r="B12" s="53">
        <v>829</v>
      </c>
      <c r="C12" s="52">
        <v>191.3</v>
      </c>
      <c r="D12" s="53">
        <v>1714</v>
      </c>
      <c r="E12" s="53">
        <v>1670</v>
      </c>
    </row>
    <row r="13" spans="1:5" s="1" customFormat="1" x14ac:dyDescent="0.3"/>
    <row r="14" spans="1:5" s="1" customFormat="1" x14ac:dyDescent="0.3"/>
    <row r="15" spans="1:5" s="1" customFormat="1" x14ac:dyDescent="0.3"/>
    <row r="16" spans="1:5" s="1" customFormat="1" x14ac:dyDescent="0.3"/>
    <row r="17" s="1" customFormat="1" x14ac:dyDescent="0.3"/>
    <row r="18" s="1" customFormat="1" x14ac:dyDescent="0.3"/>
    <row r="19" s="1" customFormat="1" x14ac:dyDescent="0.3"/>
    <row r="20" s="1" customFormat="1" x14ac:dyDescent="0.3"/>
    <row r="21" s="1" customFormat="1" x14ac:dyDescent="0.3"/>
    <row r="22" s="1" customFormat="1" x14ac:dyDescent="0.3"/>
    <row r="23" s="1" customFormat="1" x14ac:dyDescent="0.3"/>
    <row r="24" s="1" customFormat="1" x14ac:dyDescent="0.3"/>
    <row r="25" s="1" customFormat="1" x14ac:dyDescent="0.3"/>
    <row r="26" s="1" customFormat="1" x14ac:dyDescent="0.3"/>
    <row r="27" s="1" customFormat="1" x14ac:dyDescent="0.3"/>
    <row r="28" s="1" customFormat="1" x14ac:dyDescent="0.3"/>
    <row r="29" s="1" customFormat="1" x14ac:dyDescent="0.3"/>
    <row r="30" s="1" customFormat="1" x14ac:dyDescent="0.3"/>
    <row r="31" s="1" customFormat="1" x14ac:dyDescent="0.3"/>
    <row r="32" s="1" customFormat="1" x14ac:dyDescent="0.3"/>
    <row r="33" s="1" customFormat="1" x14ac:dyDescent="0.3"/>
    <row r="34" s="1" customFormat="1" x14ac:dyDescent="0.3"/>
    <row r="35" s="1" customFormat="1" x14ac:dyDescent="0.3"/>
    <row r="36" s="1" customFormat="1" x14ac:dyDescent="0.3"/>
    <row r="37" s="1" customFormat="1" x14ac:dyDescent="0.3"/>
    <row r="38" s="1" customFormat="1" x14ac:dyDescent="0.3"/>
    <row r="39" s="1" customFormat="1" x14ac:dyDescent="0.3"/>
  </sheetData>
  <phoneticPr fontId="5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FD470-2A12-4111-AE7E-AC73088D8B0E}">
  <sheetPr codeName="Feuil2"/>
  <dimension ref="A1:AK72"/>
  <sheetViews>
    <sheetView topLeftCell="L1" zoomScale="70" zoomScaleNormal="70" workbookViewId="0">
      <selection activeCell="F148" sqref="F148"/>
    </sheetView>
  </sheetViews>
  <sheetFormatPr baseColWidth="10" defaultRowHeight="14.4" x14ac:dyDescent="0.3"/>
  <cols>
    <col min="1" max="1" width="14.44140625" bestFit="1" customWidth="1"/>
    <col min="2" max="2" width="16.33203125" bestFit="1" customWidth="1"/>
    <col min="3" max="3" width="18.5546875" bestFit="1" customWidth="1"/>
    <col min="4" max="4" width="18.5546875" customWidth="1"/>
    <col min="5" max="5" width="22.88671875" bestFit="1" customWidth="1"/>
    <col min="6" max="6" width="16.33203125" bestFit="1" customWidth="1"/>
    <col min="7" max="7" width="18.5546875" bestFit="1" customWidth="1"/>
    <col min="8" max="8" width="18.5546875" customWidth="1"/>
    <col min="9" max="9" width="22.88671875" bestFit="1" customWidth="1"/>
    <col min="10" max="10" width="16.33203125" bestFit="1" customWidth="1"/>
    <col min="11" max="11" width="18.5546875" bestFit="1" customWidth="1"/>
    <col min="12" max="12" width="18.5546875" customWidth="1"/>
    <col min="13" max="13" width="11.6640625" bestFit="1" customWidth="1"/>
    <col min="14" max="14" width="12.44140625" bestFit="1" customWidth="1"/>
    <col min="15" max="15" width="20" bestFit="1" customWidth="1"/>
    <col min="16" max="16" width="20" customWidth="1"/>
    <col min="17" max="17" width="8.33203125" bestFit="1" customWidth="1"/>
    <col min="18" max="18" width="36.44140625" bestFit="1" customWidth="1"/>
    <col min="19" max="19" width="37.88671875" bestFit="1" customWidth="1"/>
    <col min="20" max="20" width="6.88671875" style="1" bestFit="1" customWidth="1"/>
    <col min="21" max="21" width="7.33203125" style="1" bestFit="1" customWidth="1"/>
    <col min="22" max="22" width="7.109375" style="1" bestFit="1" customWidth="1"/>
    <col min="23" max="23" width="14.5546875" style="1" bestFit="1" customWidth="1"/>
    <col min="24" max="24" width="26.88671875" style="1" bestFit="1" customWidth="1"/>
    <col min="25" max="25" width="26.88671875" style="1" customWidth="1"/>
    <col min="26" max="26" width="28" style="1" bestFit="1" customWidth="1"/>
    <col min="27" max="37" width="11.44140625" style="1"/>
  </cols>
  <sheetData>
    <row r="1" spans="1:27" ht="15.75" customHeight="1" thickBot="1" x14ac:dyDescent="0.35">
      <c r="A1" s="2"/>
      <c r="B1" s="101" t="s">
        <v>29</v>
      </c>
      <c r="C1" s="101"/>
      <c r="D1" s="101"/>
      <c r="E1" s="103"/>
      <c r="F1" s="102" t="s">
        <v>28</v>
      </c>
      <c r="G1" s="101"/>
      <c r="H1" s="101"/>
      <c r="I1" s="103"/>
      <c r="J1" s="102" t="s">
        <v>30</v>
      </c>
      <c r="K1" s="101"/>
      <c r="L1" s="101"/>
      <c r="M1" s="103"/>
      <c r="N1" s="102" t="s">
        <v>44</v>
      </c>
      <c r="O1" s="101"/>
      <c r="P1" s="101"/>
      <c r="Q1" s="103"/>
      <c r="R1" s="23" t="s">
        <v>31</v>
      </c>
      <c r="S1" s="23" t="s">
        <v>47</v>
      </c>
      <c r="T1" s="101" t="s">
        <v>23</v>
      </c>
      <c r="U1" s="101"/>
      <c r="V1" s="101"/>
      <c r="W1" s="23" t="s">
        <v>24</v>
      </c>
      <c r="X1" s="2"/>
      <c r="Y1" s="46"/>
    </row>
    <row r="2" spans="1:27" ht="16.2" x14ac:dyDescent="0.3">
      <c r="A2" s="63" t="s">
        <v>7</v>
      </c>
      <c r="B2" s="9" t="s">
        <v>8</v>
      </c>
      <c r="C2" s="9" t="s">
        <v>43</v>
      </c>
      <c r="D2" s="9" t="s">
        <v>50</v>
      </c>
      <c r="E2" s="10" t="str">
        <f>Variables!C1</f>
        <v>Dinsheim BELIGHT</v>
      </c>
      <c r="F2" s="9" t="s">
        <v>8</v>
      </c>
      <c r="G2" s="9" t="s">
        <v>39</v>
      </c>
      <c r="H2" s="9" t="s">
        <v>50</v>
      </c>
      <c r="I2" s="10" t="str">
        <f>Variables!C1</f>
        <v>Dinsheim BELIGHT</v>
      </c>
      <c r="J2" s="9" t="s">
        <v>8</v>
      </c>
      <c r="K2" s="9" t="s">
        <v>43</v>
      </c>
      <c r="L2" s="9" t="s">
        <v>50</v>
      </c>
      <c r="M2" s="10" t="s">
        <v>2</v>
      </c>
      <c r="N2" s="9" t="s">
        <v>8</v>
      </c>
      <c r="O2" s="9" t="s">
        <v>43</v>
      </c>
      <c r="P2" s="9" t="s">
        <v>50</v>
      </c>
      <c r="Q2" s="10" t="s">
        <v>2</v>
      </c>
      <c r="R2" s="33" t="s">
        <v>32</v>
      </c>
      <c r="S2" s="33" t="s">
        <v>32</v>
      </c>
      <c r="T2" s="9" t="s">
        <v>26</v>
      </c>
      <c r="U2" s="9" t="s">
        <v>25</v>
      </c>
      <c r="V2" s="9" t="s">
        <v>27</v>
      </c>
      <c r="W2" s="33" t="s">
        <v>25</v>
      </c>
      <c r="X2" s="34" t="s">
        <v>37</v>
      </c>
      <c r="Y2" s="34" t="s">
        <v>38</v>
      </c>
      <c r="Z2" s="34" t="s">
        <v>34</v>
      </c>
      <c r="AA2" s="35"/>
    </row>
    <row r="3" spans="1:27" x14ac:dyDescent="0.3">
      <c r="A3" s="7">
        <v>44228</v>
      </c>
      <c r="B3" s="11">
        <v>91.08</v>
      </c>
      <c r="C3" s="49">
        <v>228.991999999998</v>
      </c>
      <c r="D3" s="49">
        <v>240</v>
      </c>
      <c r="E3" s="12">
        <v>19.57</v>
      </c>
      <c r="F3" s="56">
        <f t="shared" ref="F3:F30" ca="1" si="0">B3/PRDEPI</f>
        <v>0.98383281405602652</v>
      </c>
      <c r="G3" s="56">
        <f t="shared" ref="G3:G27" ca="1" si="1">C3/SPE</f>
        <v>0.85584408845109894</v>
      </c>
      <c r="H3" s="56">
        <f t="shared" ref="H3:H34" ca="1" si="2">D3/PRAC</f>
        <v>1.012812812901974</v>
      </c>
      <c r="I3" s="57">
        <f ca="1">E3/PRBE</f>
        <v>1.1644902355825066</v>
      </c>
      <c r="J3" s="56">
        <f ca="1">F3</f>
        <v>0.98383281405602652</v>
      </c>
      <c r="K3" s="56">
        <f ca="1">G3</f>
        <v>0.85584408845109894</v>
      </c>
      <c r="L3" s="56">
        <f ca="1">H3</f>
        <v>1.012812812901974</v>
      </c>
      <c r="M3" s="57">
        <f ca="1">I3</f>
        <v>1.1644902355825066</v>
      </c>
      <c r="N3" s="54">
        <f t="shared" ref="N3:N37" si="3">B3/SE</f>
        <v>0.10986731001206272</v>
      </c>
      <c r="O3" s="54">
        <f>C3/SP</f>
        <v>0.13360093348891366</v>
      </c>
      <c r="P3" s="54">
        <f t="shared" ref="P3:P34" si="4">D3/SAC</f>
        <v>0.1437125748502994</v>
      </c>
      <c r="Q3" s="54">
        <f t="shared" ref="Q3:Q38" si="5">E3/SB</f>
        <v>0.10230005227391531</v>
      </c>
      <c r="R3" s="24">
        <f ca="1">(I3-MAX(F3,H3))/MAX(F3,H3)</f>
        <v>0.14975859383723344</v>
      </c>
      <c r="S3" s="24">
        <f ca="1">(M3-MAX(J3,L3))/MAX(J3,L3)</f>
        <v>0.14975859383723344</v>
      </c>
      <c r="T3" s="27">
        <v>3.4</v>
      </c>
      <c r="U3" s="27">
        <v>12.2</v>
      </c>
      <c r="V3" s="27">
        <v>7.3</v>
      </c>
      <c r="W3" s="30">
        <v>14.8</v>
      </c>
      <c r="X3" s="39">
        <v>31.23</v>
      </c>
      <c r="Y3" s="39">
        <v>463.17</v>
      </c>
      <c r="Z3" s="39"/>
      <c r="AA3" s="35"/>
    </row>
    <row r="4" spans="1:27" x14ac:dyDescent="0.3">
      <c r="A4" s="8">
        <v>44229</v>
      </c>
      <c r="B4" s="13">
        <v>80.08</v>
      </c>
      <c r="C4" s="50">
        <v>242</v>
      </c>
      <c r="D4" s="50">
        <v>215.51</v>
      </c>
      <c r="E4" s="14">
        <v>16.62</v>
      </c>
      <c r="F4" s="58">
        <f t="shared" ca="1" si="0"/>
        <v>0.86501242588500882</v>
      </c>
      <c r="G4" s="58">
        <f t="shared" ca="1" si="1"/>
        <v>0.90446072092111407</v>
      </c>
      <c r="H4" s="58">
        <f t="shared" ca="1" si="2"/>
        <v>0.90946370545210165</v>
      </c>
      <c r="I4" s="59">
        <f t="shared" ref="I4:I30" ca="1" si="6">E4/PRBE</f>
        <v>0.98895389450083093</v>
      </c>
      <c r="J4" s="58">
        <f t="shared" ref="J4:J30" ca="1" si="7">F4+J3</f>
        <v>1.8488452399410353</v>
      </c>
      <c r="K4" s="58">
        <f ca="1">G4+K3</f>
        <v>1.7603048093722129</v>
      </c>
      <c r="L4" s="58">
        <f ca="1">H4+L3</f>
        <v>1.9222765183540758</v>
      </c>
      <c r="M4" s="59">
        <f t="shared" ref="M4:M30" ca="1" si="8">I4+M3</f>
        <v>2.1534441300833373</v>
      </c>
      <c r="N4" s="55">
        <f t="shared" si="3"/>
        <v>9.6598311218335342E-2</v>
      </c>
      <c r="O4" s="55">
        <f t="shared" ref="O4:O38" si="9">C4/SP</f>
        <v>0.1411901983663944</v>
      </c>
      <c r="P4" s="55">
        <f t="shared" si="4"/>
        <v>0.12904790419161677</v>
      </c>
      <c r="Q4" s="55">
        <f t="shared" si="5"/>
        <v>8.6879247255619449E-2</v>
      </c>
      <c r="R4" s="25">
        <f ca="1">(I4-MAX(F4,H4))/MAX(F4,H4)</f>
        <v>8.7403365931149585E-2</v>
      </c>
      <c r="S4" s="25">
        <f ca="1">(M4-MAX(J4,L4))/MAX(J4,L4)</f>
        <v>0.12025721040758269</v>
      </c>
      <c r="T4" s="28">
        <v>6.1</v>
      </c>
      <c r="U4" s="28">
        <v>13.5</v>
      </c>
      <c r="V4" s="28">
        <v>9.9</v>
      </c>
      <c r="W4" s="31">
        <v>25.9</v>
      </c>
      <c r="X4" s="40">
        <v>22.79</v>
      </c>
      <c r="Y4" s="40">
        <v>148.25</v>
      </c>
      <c r="Z4" s="40"/>
      <c r="AA4" s="36"/>
    </row>
    <row r="5" spans="1:27" s="1" customFormat="1" x14ac:dyDescent="0.3">
      <c r="A5" s="7">
        <v>44230</v>
      </c>
      <c r="B5" s="15">
        <v>48.91</v>
      </c>
      <c r="C5" s="51">
        <v>111.008000000002</v>
      </c>
      <c r="D5" s="51">
        <v>134.41999999999999</v>
      </c>
      <c r="E5" s="16">
        <v>9.23</v>
      </c>
      <c r="F5" s="56">
        <f t="shared" ca="1" si="0"/>
        <v>0.52831865322222504</v>
      </c>
      <c r="G5" s="56">
        <f t="shared" ca="1" si="1"/>
        <v>0.4148858500331109</v>
      </c>
      <c r="H5" s="56">
        <f t="shared" ca="1" si="2"/>
        <v>0.56725957629284718</v>
      </c>
      <c r="I5" s="57">
        <f ca="1">E5/PRBE</f>
        <v>0.54922048413012448</v>
      </c>
      <c r="J5" s="56">
        <f t="shared" ca="1" si="7"/>
        <v>2.3771638931632602</v>
      </c>
      <c r="K5" s="56">
        <f ca="1">G5+K4</f>
        <v>2.1751906594053239</v>
      </c>
      <c r="L5" s="56">
        <f ca="1">H5+L4</f>
        <v>2.4895360946469229</v>
      </c>
      <c r="M5" s="57">
        <f t="shared" ca="1" si="8"/>
        <v>2.7026646142134618</v>
      </c>
      <c r="N5" s="54">
        <f t="shared" si="3"/>
        <v>5.8998793727382384E-2</v>
      </c>
      <c r="O5" s="54">
        <f t="shared" si="9"/>
        <v>6.4765460910152853E-2</v>
      </c>
      <c r="P5" s="54">
        <f t="shared" si="4"/>
        <v>8.0491017964071848E-2</v>
      </c>
      <c r="Q5" s="54">
        <f t="shared" si="5"/>
        <v>4.8248823836905382E-2</v>
      </c>
      <c r="R5" s="24">
        <f ca="1">(I5-MAX(F5,H5))/MAX(F5,H5)</f>
        <v>-3.1800418920402744E-2</v>
      </c>
      <c r="S5" s="26">
        <f ca="1">(M5-MAX(J5,L5))/MAX(J5,L5)</f>
        <v>8.5609732682652956E-2</v>
      </c>
      <c r="T5" s="29">
        <v>10.1</v>
      </c>
      <c r="U5" s="29">
        <v>13.4</v>
      </c>
      <c r="V5" s="29">
        <v>11.4</v>
      </c>
      <c r="W5" s="32">
        <v>50</v>
      </c>
      <c r="X5" s="41">
        <v>21.87</v>
      </c>
      <c r="Y5" s="41">
        <v>131.41999999999999</v>
      </c>
      <c r="Z5" s="41"/>
    </row>
    <row r="6" spans="1:27" s="1" customFormat="1" x14ac:dyDescent="0.3">
      <c r="A6" s="8">
        <v>44231</v>
      </c>
      <c r="B6" s="13">
        <v>138.74</v>
      </c>
      <c r="C6" s="50">
        <v>454</v>
      </c>
      <c r="D6" s="50">
        <v>364.33</v>
      </c>
      <c r="E6" s="14">
        <v>37.53</v>
      </c>
      <c r="F6" s="58">
        <f t="shared" ca="1" si="0"/>
        <v>1.4986491504406361</v>
      </c>
      <c r="G6" s="58">
        <f t="shared" ca="1" si="1"/>
        <v>1.6967982119759741</v>
      </c>
      <c r="H6" s="58">
        <f t="shared" ca="1" si="2"/>
        <v>1.5374920505190675</v>
      </c>
      <c r="I6" s="59">
        <f t="shared" ca="1" si="6"/>
        <v>2.2331792816255223</v>
      </c>
      <c r="J6" s="58">
        <f t="shared" ca="1" si="7"/>
        <v>3.8758130436038964</v>
      </c>
      <c r="K6" s="58">
        <f t="shared" ref="K6:L30" ca="1" si="10">G6+K5</f>
        <v>3.8719888713812978</v>
      </c>
      <c r="L6" s="58">
        <f t="shared" ca="1" si="10"/>
        <v>4.0270281451659908</v>
      </c>
      <c r="M6" s="59">
        <f t="shared" ca="1" si="8"/>
        <v>4.9358438958389836</v>
      </c>
      <c r="N6" s="55">
        <f t="shared" si="3"/>
        <v>0.16735826296743064</v>
      </c>
      <c r="O6" s="55">
        <f t="shared" si="9"/>
        <v>0.26487747957992996</v>
      </c>
      <c r="P6" s="55">
        <f t="shared" si="4"/>
        <v>0.21816167664670658</v>
      </c>
      <c r="Q6" s="55">
        <f t="shared" si="5"/>
        <v>0.19618400418191323</v>
      </c>
      <c r="R6" s="25">
        <f ca="1">(I6-MAX(F6,H6))/MAX(F6,H6)</f>
        <v>0.45248183941607129</v>
      </c>
      <c r="S6" s="25">
        <f ca="1">(M6-MAX(J6,L6))/MAX(J6,L6)</f>
        <v>0.22567901636444415</v>
      </c>
      <c r="T6" s="28">
        <v>4.2</v>
      </c>
      <c r="U6" s="28">
        <v>13.5</v>
      </c>
      <c r="V6" s="28">
        <v>8.6</v>
      </c>
      <c r="W6" s="31">
        <v>20.399999999999999</v>
      </c>
      <c r="X6" s="40">
        <v>52.32</v>
      </c>
      <c r="Y6" s="40">
        <v>345.46</v>
      </c>
      <c r="Z6" s="40"/>
    </row>
    <row r="7" spans="1:27" s="1" customFormat="1" x14ac:dyDescent="0.3">
      <c r="A7" s="7">
        <v>44232</v>
      </c>
      <c r="B7" s="11">
        <v>23.66</v>
      </c>
      <c r="C7" s="49">
        <v>206</v>
      </c>
      <c r="D7" s="49">
        <v>66.599999999999994</v>
      </c>
      <c r="E7" s="12">
        <v>4.5599999999999996</v>
      </c>
      <c r="F7" s="56">
        <f t="shared" ca="1" si="0"/>
        <v>0.255571853102389</v>
      </c>
      <c r="G7" s="56">
        <f t="shared" ca="1" si="1"/>
        <v>0.7699128450816094</v>
      </c>
      <c r="H7" s="56">
        <f t="shared" ca="1" si="2"/>
        <v>0.28105555558029777</v>
      </c>
      <c r="I7" s="57">
        <f ca="1">E7/PRBE</f>
        <v>0.27133753062116656</v>
      </c>
      <c r="J7" s="56">
        <f t="shared" ca="1" si="7"/>
        <v>4.1313848967062858</v>
      </c>
      <c r="K7" s="56">
        <f t="shared" ca="1" si="10"/>
        <v>4.6419017164629075</v>
      </c>
      <c r="L7" s="56">
        <f t="shared" ca="1" si="10"/>
        <v>4.3080837007462884</v>
      </c>
      <c r="M7" s="57">
        <f t="shared" ca="1" si="8"/>
        <v>5.2071814264601501</v>
      </c>
      <c r="N7" s="54">
        <f t="shared" si="3"/>
        <v>2.854041013268999E-2</v>
      </c>
      <c r="O7" s="54">
        <f t="shared" si="9"/>
        <v>0.12018669778296383</v>
      </c>
      <c r="P7" s="54">
        <f t="shared" si="4"/>
        <v>3.988023952095808E-2</v>
      </c>
      <c r="Q7" s="54">
        <f t="shared" si="5"/>
        <v>2.3836905384213274E-2</v>
      </c>
      <c r="R7" s="24">
        <f t="shared" ref="R7:R28" ca="1" si="11">(I7-MAX(F7,H7))/MAX(F7,H7)</f>
        <v>-3.4576882634703029E-2</v>
      </c>
      <c r="S7" s="24">
        <f t="shared" ref="S7:S61" ca="1" si="12">(M7-MAX(J7,L7))/MAX(J7,L7)</f>
        <v>0.20870015258944741</v>
      </c>
      <c r="T7" s="37">
        <v>6.4</v>
      </c>
      <c r="U7" s="37">
        <v>9</v>
      </c>
      <c r="V7" s="37">
        <v>7.7</v>
      </c>
      <c r="W7" s="44">
        <v>7.4</v>
      </c>
      <c r="X7" s="39">
        <v>9.85</v>
      </c>
      <c r="Y7" s="39">
        <v>82.36</v>
      </c>
      <c r="Z7" s="39"/>
    </row>
    <row r="8" spans="1:27" s="1" customFormat="1" x14ac:dyDescent="0.3">
      <c r="A8" s="8">
        <v>44233</v>
      </c>
      <c r="B8" s="13">
        <v>13.86</v>
      </c>
      <c r="C8" s="50">
        <v>55.983999999996698</v>
      </c>
      <c r="D8" s="50">
        <v>35.18</v>
      </c>
      <c r="E8" s="14">
        <v>2.79</v>
      </c>
      <c r="F8" s="58">
        <f t="shared" ca="1" si="0"/>
        <v>0.1497136890954823</v>
      </c>
      <c r="G8" s="58">
        <f t="shared" ca="1" si="1"/>
        <v>0.20923689669439943</v>
      </c>
      <c r="H8" s="58">
        <f t="shared" ca="1" si="2"/>
        <v>0.14846147815788102</v>
      </c>
      <c r="I8" s="59">
        <f t="shared" ca="1" si="6"/>
        <v>0.16601572597216113</v>
      </c>
      <c r="J8" s="58">
        <f t="shared" ca="1" si="7"/>
        <v>4.2810985858017681</v>
      </c>
      <c r="K8" s="58">
        <f t="shared" ca="1" si="10"/>
        <v>4.8511386131573069</v>
      </c>
      <c r="L8" s="58">
        <f t="shared" ca="1" si="10"/>
        <v>4.4565451789041699</v>
      </c>
      <c r="M8" s="59">
        <f t="shared" ca="1" si="8"/>
        <v>5.3731971524323114</v>
      </c>
      <c r="N8" s="55">
        <f t="shared" si="3"/>
        <v>1.67189384800965E-2</v>
      </c>
      <c r="O8" s="55">
        <f t="shared" si="9"/>
        <v>3.2662777129519663E-2</v>
      </c>
      <c r="P8" s="55">
        <f t="shared" si="4"/>
        <v>2.1065868263473054E-2</v>
      </c>
      <c r="Q8" s="55">
        <f t="shared" si="5"/>
        <v>1.4584422373235754E-2</v>
      </c>
      <c r="R8" s="25">
        <f t="shared" ca="1" si="11"/>
        <v>0.10888808481822893</v>
      </c>
      <c r="S8" s="25">
        <f t="shared" ca="1" si="12"/>
        <v>0.20568667807234914</v>
      </c>
      <c r="T8" s="38">
        <v>7.2</v>
      </c>
      <c r="U8" s="38">
        <v>8.4</v>
      </c>
      <c r="V8" s="38">
        <v>7.5</v>
      </c>
      <c r="W8" s="45">
        <v>13</v>
      </c>
      <c r="X8" s="40">
        <v>6.44</v>
      </c>
      <c r="Y8" s="40">
        <v>54.58</v>
      </c>
      <c r="Z8" s="40"/>
    </row>
    <row r="9" spans="1:27" s="1" customFormat="1" x14ac:dyDescent="0.3">
      <c r="A9" s="7">
        <v>44234</v>
      </c>
      <c r="B9" s="15">
        <v>56.86</v>
      </c>
      <c r="C9" s="51">
        <v>164</v>
      </c>
      <c r="D9" s="51">
        <v>115.22</v>
      </c>
      <c r="E9" s="16">
        <v>11.57</v>
      </c>
      <c r="F9" s="61">
        <f t="shared" ca="1" si="0"/>
        <v>0.61419338830946058</v>
      </c>
      <c r="G9" s="56">
        <f t="shared" ca="1" si="1"/>
        <v>0.61294032326885417</v>
      </c>
      <c r="H9" s="56">
        <f t="shared" ca="1" si="2"/>
        <v>0.48623455126068932</v>
      </c>
      <c r="I9" s="60">
        <f t="shared" ca="1" si="6"/>
        <v>0.68845948010677571</v>
      </c>
      <c r="J9" s="56">
        <f t="shared" ca="1" si="7"/>
        <v>4.8952919741112284</v>
      </c>
      <c r="K9" s="56">
        <f t="shared" ca="1" si="10"/>
        <v>5.4640789364261613</v>
      </c>
      <c r="L9" s="56">
        <f t="shared" ca="1" si="10"/>
        <v>4.9427797301648591</v>
      </c>
      <c r="M9" s="57">
        <f t="shared" ca="1" si="8"/>
        <v>6.061656632539087</v>
      </c>
      <c r="N9" s="54">
        <f t="shared" si="3"/>
        <v>6.8588661037394444E-2</v>
      </c>
      <c r="O9" s="54">
        <f t="shared" si="9"/>
        <v>9.5682613768961491E-2</v>
      </c>
      <c r="P9" s="54">
        <f t="shared" si="4"/>
        <v>6.8994011976047903E-2</v>
      </c>
      <c r="Q9" s="54">
        <f t="shared" si="5"/>
        <v>6.0480920020909566E-2</v>
      </c>
      <c r="R9" s="24">
        <f t="shared" ca="1" si="11"/>
        <v>0.12091646248705018</v>
      </c>
      <c r="S9" s="26">
        <f t="shared" ca="1" si="12"/>
        <v>0.22636592432916477</v>
      </c>
      <c r="T9" s="37">
        <v>5.7</v>
      </c>
      <c r="U9" s="37">
        <v>8.8000000000000007</v>
      </c>
      <c r="V9" s="37">
        <v>6.6</v>
      </c>
      <c r="W9" s="44">
        <v>16.7</v>
      </c>
      <c r="X9" s="41">
        <v>24.41</v>
      </c>
      <c r="Y9" s="41">
        <v>137.5</v>
      </c>
      <c r="Z9" s="41"/>
    </row>
    <row r="10" spans="1:27" s="1" customFormat="1" x14ac:dyDescent="0.3">
      <c r="A10" s="8">
        <v>44235</v>
      </c>
      <c r="B10" s="13">
        <v>49.69</v>
      </c>
      <c r="C10" s="50">
        <v>84</v>
      </c>
      <c r="D10" s="50">
        <v>99.58</v>
      </c>
      <c r="E10" s="14">
        <v>9.58</v>
      </c>
      <c r="F10" s="58">
        <f t="shared" ca="1" si="0"/>
        <v>0.53674409892889718</v>
      </c>
      <c r="G10" s="58">
        <f t="shared" ca="1" si="1"/>
        <v>0.31394504362551068</v>
      </c>
      <c r="H10" s="58">
        <f t="shared" ca="1" si="2"/>
        <v>0.42023291628657738</v>
      </c>
      <c r="I10" s="59">
        <f t="shared" ca="1" si="6"/>
        <v>0.57004682968218767</v>
      </c>
      <c r="J10" s="58">
        <f t="shared" ca="1" si="7"/>
        <v>5.4320360730401251</v>
      </c>
      <c r="K10" s="58">
        <f t="shared" ca="1" si="10"/>
        <v>5.7780239800516719</v>
      </c>
      <c r="L10" s="58">
        <f t="shared" ca="1" si="10"/>
        <v>5.3630126464514367</v>
      </c>
      <c r="M10" s="59">
        <f t="shared" ca="1" si="8"/>
        <v>6.6317034622212745</v>
      </c>
      <c r="N10" s="55">
        <f t="shared" si="3"/>
        <v>5.9939686369119421E-2</v>
      </c>
      <c r="O10" s="55">
        <f t="shared" si="9"/>
        <v>4.9008168028004666E-2</v>
      </c>
      <c r="P10" s="55">
        <f t="shared" si="4"/>
        <v>5.9628742514970058E-2</v>
      </c>
      <c r="Q10" s="55">
        <f t="shared" si="5"/>
        <v>5.0078410872974384E-2</v>
      </c>
      <c r="R10" s="25">
        <f t="shared" ca="1" si="11"/>
        <v>6.2045825598731216E-2</v>
      </c>
      <c r="S10" s="25">
        <f t="shared" ca="1" si="12"/>
        <v>0.22085040913760656</v>
      </c>
      <c r="T10" s="38">
        <v>0.7</v>
      </c>
      <c r="U10" s="38">
        <v>5.6</v>
      </c>
      <c r="V10" s="38">
        <v>1.8</v>
      </c>
      <c r="W10" s="45">
        <v>13</v>
      </c>
      <c r="X10" s="40">
        <v>16.77</v>
      </c>
      <c r="Y10" s="40">
        <v>102.25</v>
      </c>
      <c r="Z10" s="40"/>
    </row>
    <row r="11" spans="1:27" s="1" customFormat="1" x14ac:dyDescent="0.3">
      <c r="A11" s="7">
        <v>44236</v>
      </c>
      <c r="B11" s="15">
        <v>12.79</v>
      </c>
      <c r="C11" s="51">
        <v>42.016000000003302</v>
      </c>
      <c r="D11" s="51">
        <v>31.09</v>
      </c>
      <c r="E11" s="16">
        <v>3.11</v>
      </c>
      <c r="F11" s="56">
        <f t="shared" ca="1" si="0"/>
        <v>0.1381557058824833</v>
      </c>
      <c r="G11" s="56">
        <f t="shared" ca="1" si="1"/>
        <v>0.15703232086869634</v>
      </c>
      <c r="H11" s="56">
        <f t="shared" ca="1" si="2"/>
        <v>0.13120145980467654</v>
      </c>
      <c r="I11" s="57">
        <f t="shared" ca="1" si="6"/>
        <v>0.18505695619119036</v>
      </c>
      <c r="J11" s="56">
        <f t="shared" ca="1" si="7"/>
        <v>5.5701917789226085</v>
      </c>
      <c r="K11" s="56">
        <f t="shared" ca="1" si="10"/>
        <v>5.9350563009203681</v>
      </c>
      <c r="L11" s="56">
        <f t="shared" ca="1" si="10"/>
        <v>5.4942141062561136</v>
      </c>
      <c r="M11" s="57">
        <f t="shared" ca="1" si="8"/>
        <v>6.8167604184124651</v>
      </c>
      <c r="N11" s="54">
        <f t="shared" si="3"/>
        <v>1.5428226779252111E-2</v>
      </c>
      <c r="O11" s="54">
        <f t="shared" si="9"/>
        <v>2.4513418903152451E-2</v>
      </c>
      <c r="P11" s="54">
        <f t="shared" si="4"/>
        <v>1.8616766467065868E-2</v>
      </c>
      <c r="Q11" s="54">
        <f t="shared" si="5"/>
        <v>1.6257187663355984E-2</v>
      </c>
      <c r="R11" s="24">
        <f t="shared" ca="1" si="11"/>
        <v>0.33948109496542811</v>
      </c>
      <c r="S11" s="24">
        <f t="shared" ca="1" si="12"/>
        <v>0.22379276853748992</v>
      </c>
      <c r="T11" s="37">
        <v>-3.5</v>
      </c>
      <c r="U11" s="37">
        <v>1</v>
      </c>
      <c r="V11" s="37">
        <v>-2.2999999999999998</v>
      </c>
      <c r="W11" s="44">
        <v>18.5</v>
      </c>
      <c r="X11" s="42">
        <v>8.64</v>
      </c>
      <c r="Y11" s="42">
        <v>46.25</v>
      </c>
      <c r="Z11" s="42"/>
    </row>
    <row r="12" spans="1:27" s="1" customFormat="1" x14ac:dyDescent="0.3">
      <c r="A12" s="8">
        <v>44237</v>
      </c>
      <c r="B12" s="13">
        <v>1.73</v>
      </c>
      <c r="C12" s="50">
        <v>115.983999999997</v>
      </c>
      <c r="D12" s="50">
        <v>8.73</v>
      </c>
      <c r="E12" s="14">
        <v>5.83</v>
      </c>
      <c r="F12" s="58">
        <f t="shared" ca="1" si="0"/>
        <v>1.8687206503260057E-2</v>
      </c>
      <c r="G12" s="58">
        <f t="shared" ca="1" si="1"/>
        <v>0.43348335642690816</v>
      </c>
      <c r="H12" s="58">
        <f t="shared" ca="1" si="2"/>
        <v>3.6841066069309307E-2</v>
      </c>
      <c r="I12" s="59">
        <f t="shared" ca="1" si="6"/>
        <v>0.34690741305293887</v>
      </c>
      <c r="J12" s="58">
        <f t="shared" ca="1" si="7"/>
        <v>5.5888789854258683</v>
      </c>
      <c r="K12" s="58">
        <f t="shared" ca="1" si="10"/>
        <v>6.3685396573472763</v>
      </c>
      <c r="L12" s="58">
        <f t="shared" ca="1" si="10"/>
        <v>5.5310551723254227</v>
      </c>
      <c r="M12" s="59">
        <f t="shared" ca="1" si="8"/>
        <v>7.1636678314654043</v>
      </c>
      <c r="N12" s="55">
        <f t="shared" si="3"/>
        <v>2.0868516284680339E-3</v>
      </c>
      <c r="O12" s="55">
        <f t="shared" si="9"/>
        <v>6.7668611435237461E-2</v>
      </c>
      <c r="P12" s="55">
        <f t="shared" si="4"/>
        <v>5.2275449101796406E-3</v>
      </c>
      <c r="Q12" s="55">
        <f t="shared" si="5"/>
        <v>3.0475692629377937E-2</v>
      </c>
      <c r="R12" s="25">
        <f t="shared" ca="1" si="11"/>
        <v>8.4163239576265241</v>
      </c>
      <c r="S12" s="25">
        <f t="shared" ca="1" si="12"/>
        <v>0.28177186339981886</v>
      </c>
      <c r="T12" s="38">
        <v>-6.9</v>
      </c>
      <c r="U12" s="38">
        <v>-3.5</v>
      </c>
      <c r="V12" s="38">
        <v>-5.8</v>
      </c>
      <c r="W12" s="45">
        <v>20.399999999999999</v>
      </c>
      <c r="X12" s="43">
        <v>9.74</v>
      </c>
      <c r="Y12" s="43">
        <v>55.18</v>
      </c>
      <c r="Z12" s="43" t="s">
        <v>35</v>
      </c>
    </row>
    <row r="13" spans="1:27" s="1" customFormat="1" x14ac:dyDescent="0.3">
      <c r="A13" s="7">
        <v>44238</v>
      </c>
      <c r="B13" s="15">
        <v>12.18</v>
      </c>
      <c r="C13" s="51">
        <v>494.01600000000298</v>
      </c>
      <c r="D13" s="51">
        <v>39.65</v>
      </c>
      <c r="E13" s="16">
        <v>77.52</v>
      </c>
      <c r="F13" s="56">
        <f t="shared" ca="1" si="0"/>
        <v>0.13156657526572688</v>
      </c>
      <c r="G13" s="56">
        <f t="shared" ca="1" si="1"/>
        <v>1.8463556508535857</v>
      </c>
      <c r="H13" s="56">
        <f t="shared" ca="1" si="2"/>
        <v>0.16732511679818027</v>
      </c>
      <c r="I13" s="57">
        <f t="shared" ca="1" si="6"/>
        <v>4.6127380205598314</v>
      </c>
      <c r="J13" s="56">
        <f t="shared" ca="1" si="7"/>
        <v>5.7204455606915952</v>
      </c>
      <c r="K13" s="56">
        <f t="shared" ca="1" si="10"/>
        <v>8.2148953082008624</v>
      </c>
      <c r="L13" s="56">
        <f t="shared" ca="1" si="10"/>
        <v>5.6983802891236026</v>
      </c>
      <c r="M13" s="57">
        <f t="shared" ca="1" si="8"/>
        <v>11.776405852025235</v>
      </c>
      <c r="N13" s="54">
        <f t="shared" si="3"/>
        <v>1.4692400482509046E-2</v>
      </c>
      <c r="O13" s="54">
        <f t="shared" si="9"/>
        <v>0.28822403733955831</v>
      </c>
      <c r="P13" s="54">
        <f t="shared" si="4"/>
        <v>2.3742514970059879E-2</v>
      </c>
      <c r="Q13" s="54">
        <f t="shared" si="5"/>
        <v>0.40522739153162568</v>
      </c>
      <c r="R13" s="24">
        <f ca="1">(I13-MAX(F13,H13))/MAX(F13,H13)</f>
        <v>26.567517111752569</v>
      </c>
      <c r="S13" s="26">
        <f t="shared" ca="1" si="12"/>
        <v>1.0586518527416038</v>
      </c>
      <c r="T13" s="37">
        <v>-13.4</v>
      </c>
      <c r="U13" s="37">
        <v>-0.4</v>
      </c>
      <c r="V13" s="37">
        <v>-7</v>
      </c>
      <c r="W13" s="44">
        <v>14.8</v>
      </c>
      <c r="X13" s="42">
        <v>92.69</v>
      </c>
      <c r="Y13" s="42">
        <v>508.18</v>
      </c>
      <c r="Z13" s="42" t="s">
        <v>35</v>
      </c>
    </row>
    <row r="14" spans="1:27" s="1" customFormat="1" x14ac:dyDescent="0.3">
      <c r="A14" s="8">
        <v>44239</v>
      </c>
      <c r="B14" s="13">
        <v>20.28</v>
      </c>
      <c r="C14" s="50">
        <v>606</v>
      </c>
      <c r="D14" s="50">
        <v>145.69</v>
      </c>
      <c r="E14" s="14">
        <v>94.85</v>
      </c>
      <c r="F14" s="58">
        <f t="shared" ca="1" si="0"/>
        <v>0.21906158837347628</v>
      </c>
      <c r="G14" s="58">
        <f t="shared" ca="1" si="1"/>
        <v>2.264889243298327</v>
      </c>
      <c r="H14" s="58">
        <f t="shared" ca="1" si="2"/>
        <v>0.61481957796536912</v>
      </c>
      <c r="I14" s="59">
        <f t="shared" ca="1" si="6"/>
        <v>5.6439396446091337</v>
      </c>
      <c r="J14" s="58">
        <f t="shared" ca="1" si="7"/>
        <v>5.9395071490650713</v>
      </c>
      <c r="K14" s="58">
        <f t="shared" ca="1" si="10"/>
        <v>10.47978455149919</v>
      </c>
      <c r="L14" s="58">
        <f t="shared" ca="1" si="10"/>
        <v>6.3131998670889722</v>
      </c>
      <c r="M14" s="59">
        <f t="shared" ca="1" si="8"/>
        <v>17.420345496634368</v>
      </c>
      <c r="N14" s="55">
        <f t="shared" si="3"/>
        <v>2.4463208685162847E-2</v>
      </c>
      <c r="O14" s="55">
        <f t="shared" si="9"/>
        <v>0.35355892648774795</v>
      </c>
      <c r="P14" s="55">
        <f t="shared" si="4"/>
        <v>8.7239520958083835E-2</v>
      </c>
      <c r="Q14" s="55">
        <f t="shared" si="5"/>
        <v>0.49581808677469935</v>
      </c>
      <c r="R14" s="25">
        <f ca="1">(I14-MAX(F14,H14))/MAX(F14,H14)</f>
        <v>8.1798307127543026</v>
      </c>
      <c r="S14" s="25">
        <f t="shared" ca="1" si="12"/>
        <v>1.7593527630017709</v>
      </c>
      <c r="T14" s="38">
        <v>-11.4</v>
      </c>
      <c r="U14" s="38">
        <v>-0.4</v>
      </c>
      <c r="V14" s="38">
        <v>-6.1</v>
      </c>
      <c r="W14" s="45">
        <v>22.2</v>
      </c>
      <c r="X14" s="43">
        <v>112.28</v>
      </c>
      <c r="Y14" s="43">
        <v>507.92</v>
      </c>
      <c r="Z14" s="43" t="s">
        <v>35</v>
      </c>
    </row>
    <row r="15" spans="1:27" s="1" customFormat="1" x14ac:dyDescent="0.3">
      <c r="A15" s="7">
        <v>44240</v>
      </c>
      <c r="B15" s="15">
        <v>46.91</v>
      </c>
      <c r="C15" s="51">
        <v>703.00800000000197</v>
      </c>
      <c r="D15" s="51">
        <v>475.08</v>
      </c>
      <c r="E15" s="16">
        <v>21.13</v>
      </c>
      <c r="F15" s="56">
        <f t="shared" ca="1" si="0"/>
        <v>0.50671494628203995</v>
      </c>
      <c r="G15" s="56">
        <f ca="1">C15/SPE</f>
        <v>2.6274509193938527</v>
      </c>
      <c r="H15" s="56">
        <f t="shared" ca="1" si="2"/>
        <v>2.0048629631394572</v>
      </c>
      <c r="I15" s="57">
        <f t="shared" ca="1" si="6"/>
        <v>1.2573162329002741</v>
      </c>
      <c r="J15" s="56">
        <f t="shared" ca="1" si="7"/>
        <v>6.4462220953471112</v>
      </c>
      <c r="K15" s="56">
        <f t="shared" ca="1" si="10"/>
        <v>13.107235470893043</v>
      </c>
      <c r="L15" s="56">
        <f t="shared" ca="1" si="10"/>
        <v>8.3180628302284294</v>
      </c>
      <c r="M15" s="57">
        <f t="shared" ca="1" si="8"/>
        <v>18.677661729534641</v>
      </c>
      <c r="N15" s="54">
        <f t="shared" si="3"/>
        <v>5.6586248492159222E-2</v>
      </c>
      <c r="O15" s="54">
        <f t="shared" si="9"/>
        <v>0.41015635939323336</v>
      </c>
      <c r="P15" s="54">
        <f t="shared" si="4"/>
        <v>0.28447904191616763</v>
      </c>
      <c r="Q15" s="54">
        <f t="shared" si="5"/>
        <v>0.11045478306325143</v>
      </c>
      <c r="R15" s="24">
        <f ca="1">(I15-MAX(F15,H15))/MAX(F15,H15)</f>
        <v>-0.37286674649751822</v>
      </c>
      <c r="S15" s="24">
        <f t="shared" ca="1" si="12"/>
        <v>1.2454340765086187</v>
      </c>
      <c r="T15" s="37">
        <v>-9.3000000000000007</v>
      </c>
      <c r="U15" s="37">
        <v>0.1</v>
      </c>
      <c r="V15" s="37">
        <v>-5.4</v>
      </c>
      <c r="W15" s="44">
        <v>24.1</v>
      </c>
      <c r="X15" s="42">
        <v>121.28</v>
      </c>
      <c r="Y15" s="42">
        <v>517.17999999999995</v>
      </c>
      <c r="Z15" s="42" t="s">
        <v>36</v>
      </c>
    </row>
    <row r="16" spans="1:27" s="1" customFormat="1" x14ac:dyDescent="0.3">
      <c r="A16" s="8">
        <v>44241</v>
      </c>
      <c r="B16" s="13">
        <v>147.85</v>
      </c>
      <c r="C16" s="50">
        <v>713.96799999999303</v>
      </c>
      <c r="D16" s="50">
        <v>487.82</v>
      </c>
      <c r="E16" s="14">
        <v>94.76</v>
      </c>
      <c r="F16" s="58">
        <f t="shared" ca="1" si="0"/>
        <v>1.5970540355531788</v>
      </c>
      <c r="G16" s="58">
        <f t="shared" ca="1" si="1"/>
        <v>2.668413272704957</v>
      </c>
      <c r="H16" s="58">
        <f t="shared" ca="1" si="2"/>
        <v>2.0586264432910037</v>
      </c>
      <c r="I16" s="59">
        <f t="shared" ca="1" si="6"/>
        <v>5.6385842986100325</v>
      </c>
      <c r="J16" s="58">
        <f t="shared" ca="1" si="7"/>
        <v>8.0432761309002903</v>
      </c>
      <c r="K16" s="58">
        <f t="shared" ca="1" si="10"/>
        <v>15.775648743598</v>
      </c>
      <c r="L16" s="58">
        <f t="shared" ca="1" si="10"/>
        <v>10.376689273519434</v>
      </c>
      <c r="M16" s="59">
        <f t="shared" ca="1" si="8"/>
        <v>24.316246028144676</v>
      </c>
      <c r="N16" s="55">
        <f t="shared" si="3"/>
        <v>0.17834740651387213</v>
      </c>
      <c r="O16" s="55">
        <f t="shared" si="9"/>
        <v>0.41655075845973921</v>
      </c>
      <c r="P16" s="55">
        <f t="shared" si="4"/>
        <v>0.29210778443113772</v>
      </c>
      <c r="Q16" s="55">
        <f t="shared" si="5"/>
        <v>0.49534762153685313</v>
      </c>
      <c r="R16" s="25">
        <f t="shared" ca="1" si="11"/>
        <v>1.7390031430840667</v>
      </c>
      <c r="S16" s="25">
        <f t="shared" ca="1" si="12"/>
        <v>1.3433530085745162</v>
      </c>
      <c r="T16" s="38">
        <v>-11.3</v>
      </c>
      <c r="U16" s="38">
        <v>3.9</v>
      </c>
      <c r="V16" s="38">
        <v>-5.3</v>
      </c>
      <c r="W16" s="45">
        <v>9.3000000000000007</v>
      </c>
      <c r="X16" s="43">
        <v>119.03</v>
      </c>
      <c r="Y16" s="43">
        <v>542.91999999999996</v>
      </c>
      <c r="Z16" s="43" t="s">
        <v>35</v>
      </c>
    </row>
    <row r="17" spans="1:26" s="1" customFormat="1" x14ac:dyDescent="0.3">
      <c r="A17" s="7">
        <v>44242</v>
      </c>
      <c r="B17" s="15">
        <v>86.04</v>
      </c>
      <c r="C17" s="51">
        <v>208.016000000003</v>
      </c>
      <c r="D17" s="51">
        <v>174.7</v>
      </c>
      <c r="E17" s="16">
        <v>18.73</v>
      </c>
      <c r="F17" s="56">
        <f t="shared" ca="1" si="0"/>
        <v>0.92939147256676036</v>
      </c>
      <c r="G17" s="56">
        <f t="shared" ca="1" si="1"/>
        <v>0.77744752612863288</v>
      </c>
      <c r="H17" s="56">
        <f t="shared" ca="1" si="2"/>
        <v>0.73724332672489523</v>
      </c>
      <c r="I17" s="57">
        <f t="shared" ca="1" si="6"/>
        <v>1.1145070062575548</v>
      </c>
      <c r="J17" s="56">
        <f t="shared" ca="1" si="7"/>
        <v>8.9726676034670501</v>
      </c>
      <c r="K17" s="56">
        <f t="shared" ca="1" si="10"/>
        <v>16.553096269726634</v>
      </c>
      <c r="L17" s="56">
        <f t="shared" ca="1" si="10"/>
        <v>11.113932600244329</v>
      </c>
      <c r="M17" s="57">
        <f t="shared" ca="1" si="8"/>
        <v>25.43075303440223</v>
      </c>
      <c r="N17" s="54">
        <f t="shared" si="3"/>
        <v>0.10378769601930037</v>
      </c>
      <c r="O17" s="54">
        <f t="shared" si="9"/>
        <v>0.1213628938156377</v>
      </c>
      <c r="P17" s="54">
        <f t="shared" si="4"/>
        <v>0.10461077844311377</v>
      </c>
      <c r="Q17" s="54">
        <f t="shared" si="5"/>
        <v>9.7909043387349709E-2</v>
      </c>
      <c r="R17" s="24">
        <f t="shared" ca="1" si="11"/>
        <v>0.19917929005691107</v>
      </c>
      <c r="S17" s="26">
        <f t="shared" ca="1" si="12"/>
        <v>1.28818672463815</v>
      </c>
      <c r="T17" s="37">
        <v>-8.1999999999999993</v>
      </c>
      <c r="U17" s="37">
        <v>3.1</v>
      </c>
      <c r="V17" s="37">
        <v>-0.9</v>
      </c>
      <c r="W17" s="44">
        <v>18.5</v>
      </c>
      <c r="X17" s="42">
        <v>44.56</v>
      </c>
      <c r="Y17" s="42">
        <v>211.82</v>
      </c>
      <c r="Z17" s="42"/>
    </row>
    <row r="18" spans="1:26" s="1" customFormat="1" x14ac:dyDescent="0.3">
      <c r="A18" s="8">
        <v>44243</v>
      </c>
      <c r="B18" s="13">
        <v>161.22</v>
      </c>
      <c r="C18" s="50">
        <v>188</v>
      </c>
      <c r="D18" s="50">
        <v>293.01</v>
      </c>
      <c r="E18" s="14">
        <v>43.12</v>
      </c>
      <c r="F18" s="58">
        <f t="shared" ca="1" si="0"/>
        <v>1.7414748164483158</v>
      </c>
      <c r="G18" s="58">
        <f t="shared" ca="1" si="1"/>
        <v>0.70263890716185717</v>
      </c>
      <c r="H18" s="58">
        <f t="shared" ca="1" si="2"/>
        <v>1.2365178429516974</v>
      </c>
      <c r="I18" s="59">
        <f t="shared" ca="1" si="6"/>
        <v>2.5658057720141891</v>
      </c>
      <c r="J18" s="58">
        <f t="shared" ca="1" si="7"/>
        <v>10.714142419915365</v>
      </c>
      <c r="K18" s="58">
        <f t="shared" ca="1" si="10"/>
        <v>17.255735176888493</v>
      </c>
      <c r="L18" s="58">
        <f t="shared" ca="1" si="10"/>
        <v>12.350450443196026</v>
      </c>
      <c r="M18" s="59">
        <f t="shared" ca="1" si="8"/>
        <v>27.99655880641642</v>
      </c>
      <c r="N18" s="55">
        <f t="shared" si="3"/>
        <v>0.19447527141133897</v>
      </c>
      <c r="O18" s="55">
        <f t="shared" si="9"/>
        <v>0.10968494749124855</v>
      </c>
      <c r="P18" s="55">
        <f t="shared" si="4"/>
        <v>0.17545508982035929</v>
      </c>
      <c r="Q18" s="55">
        <f t="shared" si="5"/>
        <v>0.22540512284370096</v>
      </c>
      <c r="R18" s="25">
        <f t="shared" ca="1" si="11"/>
        <v>0.47335221145894657</v>
      </c>
      <c r="S18" s="25">
        <f t="shared" ca="1" si="12"/>
        <v>1.2668451596305927</v>
      </c>
      <c r="T18" s="38">
        <v>3.1</v>
      </c>
      <c r="U18" s="38">
        <v>11.6</v>
      </c>
      <c r="V18" s="38">
        <v>6.5</v>
      </c>
      <c r="W18" s="45">
        <v>16.7</v>
      </c>
      <c r="X18" s="42">
        <v>75.22</v>
      </c>
      <c r="Y18" s="43">
        <v>534.17999999999995</v>
      </c>
      <c r="Z18" s="43"/>
    </row>
    <row r="19" spans="1:26" s="1" customFormat="1" x14ac:dyDescent="0.3">
      <c r="A19" s="7">
        <v>44244</v>
      </c>
      <c r="B19" s="15">
        <v>237.08</v>
      </c>
      <c r="C19" s="51">
        <v>377.00800000000203</v>
      </c>
      <c r="D19" s="51">
        <v>433.61</v>
      </c>
      <c r="E19" s="16">
        <v>74.66</v>
      </c>
      <c r="F19" s="56">
        <f t="shared" ca="1" si="0"/>
        <v>2.5609034206895345</v>
      </c>
      <c r="G19" s="56">
        <f t="shared" ca="1" si="1"/>
        <v>1.409045154847228</v>
      </c>
      <c r="H19" s="56">
        <f t="shared" ca="1" si="2"/>
        <v>1.8298573491767707</v>
      </c>
      <c r="I19" s="57">
        <f t="shared" ca="1" si="6"/>
        <v>4.4425570254772584</v>
      </c>
      <c r="J19" s="56">
        <f t="shared" ca="1" si="7"/>
        <v>13.2750458406049</v>
      </c>
      <c r="K19" s="56">
        <f t="shared" ca="1" si="10"/>
        <v>18.66478033173572</v>
      </c>
      <c r="L19" s="56">
        <f t="shared" ca="1" si="10"/>
        <v>14.180307792372798</v>
      </c>
      <c r="M19" s="57">
        <f t="shared" ca="1" si="8"/>
        <v>32.43911583189368</v>
      </c>
      <c r="N19" s="54">
        <f t="shared" si="3"/>
        <v>0.28598311218335343</v>
      </c>
      <c r="O19" s="54">
        <f t="shared" si="9"/>
        <v>0.21995799299883431</v>
      </c>
      <c r="P19" s="54">
        <f t="shared" si="4"/>
        <v>0.25964670658682637</v>
      </c>
      <c r="Q19" s="54">
        <f t="shared" si="5"/>
        <v>0.39027705175117611</v>
      </c>
      <c r="R19" s="24">
        <f t="shared" ca="1" si="11"/>
        <v>0.73476164293656976</v>
      </c>
      <c r="S19" s="24">
        <f t="shared" ca="1" si="12"/>
        <v>1.2876171876425559</v>
      </c>
      <c r="T19" s="37">
        <v>3.7</v>
      </c>
      <c r="U19" s="37">
        <v>14</v>
      </c>
      <c r="V19" s="37">
        <v>8.3000000000000007</v>
      </c>
      <c r="W19" s="44">
        <v>14.8</v>
      </c>
      <c r="X19" s="42">
        <v>104.07</v>
      </c>
      <c r="Y19" s="42">
        <v>546.27</v>
      </c>
      <c r="Z19" s="42"/>
    </row>
    <row r="20" spans="1:26" s="1" customFormat="1" x14ac:dyDescent="0.3">
      <c r="A20" s="8">
        <v>44245</v>
      </c>
      <c r="B20" s="13">
        <v>180.23</v>
      </c>
      <c r="C20" s="50">
        <v>554</v>
      </c>
      <c r="D20" s="50">
        <v>340.11</v>
      </c>
      <c r="E20" s="14">
        <v>42.21</v>
      </c>
      <c r="F20" s="58">
        <f t="shared" ca="1" si="0"/>
        <v>1.9468180509147746</v>
      </c>
      <c r="G20" s="58">
        <f t="shared" ca="1" si="1"/>
        <v>2.0705423115301538</v>
      </c>
      <c r="H20" s="58">
        <f t="shared" ca="1" si="2"/>
        <v>1.4352823574837099</v>
      </c>
      <c r="I20" s="59">
        <f t="shared" ca="1" si="6"/>
        <v>2.511657273578825</v>
      </c>
      <c r="J20" s="58">
        <f t="shared" ca="1" si="7"/>
        <v>15.221863891519675</v>
      </c>
      <c r="K20" s="58">
        <f t="shared" ca="1" si="10"/>
        <v>20.735322643265874</v>
      </c>
      <c r="L20" s="58">
        <f t="shared" ca="1" si="10"/>
        <v>15.615590149856507</v>
      </c>
      <c r="M20" s="59">
        <f t="shared" ca="1" si="8"/>
        <v>34.950773105472507</v>
      </c>
      <c r="N20" s="55">
        <f t="shared" si="3"/>
        <v>0.21740651387213508</v>
      </c>
      <c r="O20" s="55">
        <f t="shared" si="9"/>
        <v>0.323220536756126</v>
      </c>
      <c r="P20" s="55">
        <f t="shared" si="4"/>
        <v>0.20365868263473055</v>
      </c>
      <c r="Q20" s="55">
        <f t="shared" si="5"/>
        <v>0.22064819654992157</v>
      </c>
      <c r="R20" s="25">
        <f t="shared" ca="1" si="11"/>
        <v>0.29013457235957035</v>
      </c>
      <c r="S20" s="25">
        <f t="shared" ca="1" si="12"/>
        <v>1.2381973892798199</v>
      </c>
      <c r="T20" s="38">
        <v>-1.2</v>
      </c>
      <c r="U20" s="38">
        <v>12.3</v>
      </c>
      <c r="V20" s="38">
        <v>6</v>
      </c>
      <c r="W20" s="45">
        <v>27.8</v>
      </c>
      <c r="X20" s="43">
        <v>71.66</v>
      </c>
      <c r="Y20" s="43">
        <v>382.46</v>
      </c>
      <c r="Z20" s="43"/>
    </row>
    <row r="21" spans="1:26" s="1" customFormat="1" x14ac:dyDescent="0.3">
      <c r="A21" s="7">
        <v>44246</v>
      </c>
      <c r="B21" s="15">
        <v>120.15</v>
      </c>
      <c r="C21" s="51">
        <v>596.975999999995</v>
      </c>
      <c r="D21" s="51">
        <v>230.94</v>
      </c>
      <c r="E21" s="16">
        <v>32.630000000000003</v>
      </c>
      <c r="F21" s="56">
        <f t="shared" ca="1" si="0"/>
        <v>1.2978426944316162</v>
      </c>
      <c r="G21" s="56">
        <f t="shared" ca="1" si="1"/>
        <v>2.231162575754539</v>
      </c>
      <c r="H21" s="56">
        <f t="shared" ca="1" si="2"/>
        <v>0.9745791292149244</v>
      </c>
      <c r="I21" s="57">
        <f t="shared" ca="1" si="6"/>
        <v>1.9416104438966373</v>
      </c>
      <c r="J21" s="56">
        <f t="shared" ca="1" si="7"/>
        <v>16.51970658595129</v>
      </c>
      <c r="K21" s="56">
        <f t="shared" ca="1" si="10"/>
        <v>22.966485219020413</v>
      </c>
      <c r="L21" s="56">
        <f t="shared" ca="1" si="10"/>
        <v>16.590169279071432</v>
      </c>
      <c r="M21" s="57">
        <f t="shared" ca="1" si="8"/>
        <v>36.892383549369143</v>
      </c>
      <c r="N21" s="54">
        <f t="shared" si="3"/>
        <v>0.14493365500603136</v>
      </c>
      <c r="O21" s="54">
        <f t="shared" si="9"/>
        <v>0.34829404900816513</v>
      </c>
      <c r="P21" s="54">
        <f t="shared" si="4"/>
        <v>0.1382874251497006</v>
      </c>
      <c r="Q21" s="54">
        <f t="shared" si="5"/>
        <v>0.17056978567694719</v>
      </c>
      <c r="R21" s="24">
        <f t="shared" ca="1" si="11"/>
        <v>0.49602910447244614</v>
      </c>
      <c r="S21" s="26">
        <f t="shared" ca="1" si="12"/>
        <v>1.2237496754122357</v>
      </c>
      <c r="T21" s="37">
        <v>5.7</v>
      </c>
      <c r="U21" s="37">
        <v>13.5</v>
      </c>
      <c r="V21" s="37">
        <v>8.1999999999999993</v>
      </c>
      <c r="W21" s="44">
        <v>16.7</v>
      </c>
      <c r="X21" s="42">
        <v>69.69</v>
      </c>
      <c r="Y21" s="42">
        <v>424.75</v>
      </c>
      <c r="Z21" s="42"/>
    </row>
    <row r="22" spans="1:26" s="1" customFormat="1" x14ac:dyDescent="0.3">
      <c r="A22" s="8">
        <v>44247</v>
      </c>
      <c r="B22" s="13">
        <v>255.47</v>
      </c>
      <c r="C22" s="50">
        <v>716.01600000000303</v>
      </c>
      <c r="D22" s="50">
        <v>474.49</v>
      </c>
      <c r="E22" s="14">
        <v>80.5</v>
      </c>
      <c r="F22" s="58">
        <f t="shared" ca="1" si="0"/>
        <v>2.7595495060045359</v>
      </c>
      <c r="G22" s="58">
        <f t="shared" ca="1" si="1"/>
        <v>2.6760675518638641</v>
      </c>
      <c r="H22" s="58">
        <f t="shared" ca="1" si="2"/>
        <v>2.0023731316410736</v>
      </c>
      <c r="I22" s="59">
        <f t="shared" ca="1" si="6"/>
        <v>4.7900594769745419</v>
      </c>
      <c r="J22" s="58">
        <f t="shared" ca="1" si="7"/>
        <v>19.279256091955826</v>
      </c>
      <c r="K22" s="58">
        <f t="shared" ca="1" si="10"/>
        <v>25.642552770884276</v>
      </c>
      <c r="L22" s="58">
        <f t="shared" ca="1" si="10"/>
        <v>18.592542410712504</v>
      </c>
      <c r="M22" s="59">
        <f t="shared" ca="1" si="8"/>
        <v>41.682443026343684</v>
      </c>
      <c r="N22" s="55">
        <f t="shared" si="3"/>
        <v>0.3081664656212304</v>
      </c>
      <c r="O22" s="55">
        <f t="shared" si="9"/>
        <v>0.41774562427071354</v>
      </c>
      <c r="P22" s="55">
        <f t="shared" si="4"/>
        <v>0.28412574850299399</v>
      </c>
      <c r="Q22" s="55">
        <f t="shared" si="5"/>
        <v>0.42080501829587036</v>
      </c>
      <c r="R22" s="25">
        <f t="shared" ca="1" si="11"/>
        <v>0.73581211953320491</v>
      </c>
      <c r="S22" s="25">
        <f t="shared" ca="1" si="12"/>
        <v>1.1620358600732252</v>
      </c>
      <c r="T22" s="38">
        <v>0.4</v>
      </c>
      <c r="U22" s="38">
        <v>15.7</v>
      </c>
      <c r="V22" s="38">
        <v>7</v>
      </c>
      <c r="W22" s="45">
        <v>11.1</v>
      </c>
      <c r="X22" s="43">
        <v>105.74</v>
      </c>
      <c r="Y22" s="43">
        <v>575.41999999999996</v>
      </c>
      <c r="Z22" s="43"/>
    </row>
    <row r="23" spans="1:26" s="1" customFormat="1" x14ac:dyDescent="0.3">
      <c r="A23" s="7">
        <v>44248</v>
      </c>
      <c r="B23" s="15">
        <v>305.10000000000002</v>
      </c>
      <c r="C23" s="51">
        <v>868.99199999999803</v>
      </c>
      <c r="D23" s="51">
        <v>566.29999999999995</v>
      </c>
      <c r="E23" s="16">
        <v>104.85</v>
      </c>
      <c r="F23" s="56">
        <f t="shared" ca="1" si="0"/>
        <v>3.2956454937252277</v>
      </c>
      <c r="G23" s="56">
        <f t="shared" ca="1" si="1"/>
        <v>3.2478063255978467</v>
      </c>
      <c r="H23" s="56">
        <f t="shared" ca="1" si="2"/>
        <v>2.3898162331099493</v>
      </c>
      <c r="I23" s="57">
        <f t="shared" ca="1" si="6"/>
        <v>6.2389780889537976</v>
      </c>
      <c r="J23" s="56">
        <f t="shared" ca="1" si="7"/>
        <v>22.574901585681054</v>
      </c>
      <c r="K23" s="56">
        <f t="shared" ca="1" si="10"/>
        <v>28.890359096482122</v>
      </c>
      <c r="L23" s="56">
        <f t="shared" ca="1" si="10"/>
        <v>20.982358643822455</v>
      </c>
      <c r="M23" s="57">
        <f t="shared" ca="1" si="8"/>
        <v>47.921421115297484</v>
      </c>
      <c r="N23" s="54">
        <f t="shared" si="3"/>
        <v>0.36803377563329315</v>
      </c>
      <c r="O23" s="54">
        <f t="shared" si="9"/>
        <v>0.50699649941656832</v>
      </c>
      <c r="P23" s="54">
        <f t="shared" si="4"/>
        <v>0.33910179640718557</v>
      </c>
      <c r="Q23" s="54">
        <f t="shared" si="5"/>
        <v>0.54809200209095654</v>
      </c>
      <c r="R23" s="24">
        <f t="shared" ca="1" si="11"/>
        <v>0.89309745263334694</v>
      </c>
      <c r="S23" s="24">
        <f t="shared" ca="1" si="12"/>
        <v>1.1227743090447568</v>
      </c>
      <c r="T23" s="37">
        <v>-0.1</v>
      </c>
      <c r="U23" s="37">
        <v>10.3</v>
      </c>
      <c r="V23" s="37">
        <v>1.3</v>
      </c>
      <c r="W23" s="44">
        <v>7.4</v>
      </c>
      <c r="X23" s="42">
        <v>178.58</v>
      </c>
      <c r="Y23" s="42">
        <v>555.91</v>
      </c>
      <c r="Z23" s="42"/>
    </row>
    <row r="24" spans="1:26" s="1" customFormat="1" x14ac:dyDescent="0.3">
      <c r="A24" s="8">
        <v>44249</v>
      </c>
      <c r="B24" s="13">
        <v>209.58</v>
      </c>
      <c r="C24" s="50">
        <v>673.98399999999697</v>
      </c>
      <c r="D24" s="50">
        <v>393.16</v>
      </c>
      <c r="E24" s="14">
        <v>58.71</v>
      </c>
      <c r="F24" s="58">
        <f t="shared" ca="1" si="0"/>
        <v>2.2638524502619903</v>
      </c>
      <c r="G24" s="58">
        <f t="shared" ca="1" si="1"/>
        <v>2.5189754319392286</v>
      </c>
      <c r="H24" s="58">
        <f t="shared" ca="1" si="2"/>
        <v>1.6591561896689171</v>
      </c>
      <c r="I24" s="59">
        <f t="shared" ca="1" si="6"/>
        <v>3.4934707067475199</v>
      </c>
      <c r="J24" s="58">
        <f t="shared" ca="1" si="7"/>
        <v>24.838754035943044</v>
      </c>
      <c r="K24" s="58">
        <f t="shared" ca="1" si="10"/>
        <v>31.409334528421351</v>
      </c>
      <c r="L24" s="58">
        <f t="shared" ca="1" si="10"/>
        <v>22.641514833491371</v>
      </c>
      <c r="M24" s="59">
        <f t="shared" ca="1" si="8"/>
        <v>51.414891822045007</v>
      </c>
      <c r="N24" s="55">
        <f t="shared" si="3"/>
        <v>0.25281061519903497</v>
      </c>
      <c r="O24" s="55">
        <f t="shared" si="9"/>
        <v>0.39322287047841131</v>
      </c>
      <c r="P24" s="55">
        <f t="shared" si="4"/>
        <v>0.23542514970059883</v>
      </c>
      <c r="Q24" s="55">
        <f t="shared" si="5"/>
        <v>0.30690015682174593</v>
      </c>
      <c r="R24" s="25">
        <f t="shared" ca="1" si="11"/>
        <v>0.54315300290141644</v>
      </c>
      <c r="S24" s="25">
        <f t="shared" ca="1" si="12"/>
        <v>1.0699464935980616</v>
      </c>
      <c r="T24" s="38">
        <v>0.5</v>
      </c>
      <c r="U24" s="38">
        <v>13.4</v>
      </c>
      <c r="V24" s="38">
        <v>6.74</v>
      </c>
      <c r="W24" s="45">
        <v>15.5</v>
      </c>
      <c r="X24" s="43">
        <v>93.35</v>
      </c>
      <c r="Y24" s="43">
        <v>506.25</v>
      </c>
      <c r="Z24" s="43"/>
    </row>
    <row r="25" spans="1:26" s="1" customFormat="1" x14ac:dyDescent="0.3">
      <c r="A25" s="7">
        <v>44250</v>
      </c>
      <c r="B25" s="15">
        <v>263.66000000000003</v>
      </c>
      <c r="C25" s="51">
        <v>840.01600000000303</v>
      </c>
      <c r="D25" s="51">
        <v>484.95</v>
      </c>
      <c r="E25" s="16">
        <v>85.68</v>
      </c>
      <c r="F25" s="56">
        <f t="shared" ca="1" si="0"/>
        <v>2.8480166859245934</v>
      </c>
      <c r="G25" s="56">
        <f t="shared" ca="1" si="1"/>
        <v>3.1395102353110467</v>
      </c>
      <c r="H25" s="56">
        <f t="shared" ca="1" si="2"/>
        <v>2.0465148900700512</v>
      </c>
      <c r="I25" s="57">
        <f t="shared" ca="1" si="6"/>
        <v>5.0982893911450775</v>
      </c>
      <c r="J25" s="56">
        <f t="shared" ca="1" si="7"/>
        <v>27.686770721867639</v>
      </c>
      <c r="K25" s="56">
        <f t="shared" ca="1" si="10"/>
        <v>34.548844763732397</v>
      </c>
      <c r="L25" s="56">
        <f t="shared" ca="1" si="10"/>
        <v>24.688029723561421</v>
      </c>
      <c r="M25" s="57">
        <f t="shared" ca="1" si="8"/>
        <v>56.513181213190087</v>
      </c>
      <c r="N25" s="54">
        <f t="shared" si="3"/>
        <v>0.31804583835946926</v>
      </c>
      <c r="O25" s="54">
        <f t="shared" si="9"/>
        <v>0.49009101516919662</v>
      </c>
      <c r="P25" s="54">
        <f t="shared" si="4"/>
        <v>0.29038922155688623</v>
      </c>
      <c r="Q25" s="54">
        <f t="shared" si="5"/>
        <v>0.44788290642969159</v>
      </c>
      <c r="R25" s="24">
        <f t="shared" ca="1" si="11"/>
        <v>0.79011921395746498</v>
      </c>
      <c r="S25" s="26">
        <f t="shared" ca="1" si="12"/>
        <v>1.0411618885027534</v>
      </c>
      <c r="T25" s="37">
        <v>2.6</v>
      </c>
      <c r="U25" s="37">
        <v>18.899999999999999</v>
      </c>
      <c r="V25" s="37">
        <v>7.75</v>
      </c>
      <c r="W25" s="44">
        <v>21.6</v>
      </c>
      <c r="X25" s="42">
        <v>118.72</v>
      </c>
      <c r="Y25" s="42">
        <v>491.83</v>
      </c>
      <c r="Z25" s="42"/>
    </row>
    <row r="26" spans="1:26" s="1" customFormat="1" x14ac:dyDescent="0.3">
      <c r="A26" s="8">
        <v>44251</v>
      </c>
      <c r="B26" s="13">
        <v>263.52</v>
      </c>
      <c r="C26" s="50">
        <v>813.00800000000197</v>
      </c>
      <c r="D26" s="50">
        <v>483.32</v>
      </c>
      <c r="E26" s="14">
        <v>84.12</v>
      </c>
      <c r="F26" s="58">
        <f t="shared" ca="1" si="0"/>
        <v>2.8465044264387802</v>
      </c>
      <c r="G26" s="58">
        <f t="shared" ca="1" si="1"/>
        <v>3.0385694289034499</v>
      </c>
      <c r="H26" s="58">
        <f t="shared" ca="1" si="2"/>
        <v>2.039636203049092</v>
      </c>
      <c r="I26" s="59">
        <f t="shared" ca="1" si="6"/>
        <v>5.0054633938273101</v>
      </c>
      <c r="J26" s="58">
        <f t="shared" ca="1" si="7"/>
        <v>30.533275148306419</v>
      </c>
      <c r="K26" s="58">
        <f t="shared" ca="1" si="10"/>
        <v>37.587414192635848</v>
      </c>
      <c r="L26" s="58">
        <f t="shared" ca="1" si="10"/>
        <v>26.727665926610513</v>
      </c>
      <c r="M26" s="59">
        <f t="shared" ca="1" si="8"/>
        <v>61.5186446070174</v>
      </c>
      <c r="N26" s="55">
        <f t="shared" si="3"/>
        <v>0.3178769601930036</v>
      </c>
      <c r="O26" s="55">
        <f t="shared" si="9"/>
        <v>0.47433372228704901</v>
      </c>
      <c r="P26" s="55">
        <f t="shared" si="4"/>
        <v>0.28941317365269459</v>
      </c>
      <c r="Q26" s="55">
        <f t="shared" si="5"/>
        <v>0.43972817564035543</v>
      </c>
      <c r="R26" s="25">
        <f t="shared" ca="1" si="11"/>
        <v>0.7584597260189655</v>
      </c>
      <c r="S26" s="25">
        <f t="shared" ca="1" si="12"/>
        <v>1.0148066104343096</v>
      </c>
      <c r="T26" s="38">
        <v>2.9</v>
      </c>
      <c r="U26" s="38">
        <v>20.7</v>
      </c>
      <c r="V26" s="38">
        <v>10.29</v>
      </c>
      <c r="W26" s="45">
        <v>16.2</v>
      </c>
      <c r="X26" s="43">
        <v>117.99</v>
      </c>
      <c r="Y26" s="43">
        <v>494.25</v>
      </c>
      <c r="Z26" s="43"/>
    </row>
    <row r="27" spans="1:26" s="1" customFormat="1" x14ac:dyDescent="0.3">
      <c r="A27" s="7">
        <v>44252</v>
      </c>
      <c r="B27" s="15">
        <v>292.95999999999998</v>
      </c>
      <c r="C27" s="51">
        <v>926.975999999995</v>
      </c>
      <c r="D27" s="51">
        <v>541.73</v>
      </c>
      <c r="E27" s="16">
        <v>97.69</v>
      </c>
      <c r="F27" s="56">
        <f t="shared" ca="1" si="0"/>
        <v>3.1645109925983039</v>
      </c>
      <c r="G27" s="56">
        <f t="shared" ca="1" si="1"/>
        <v>3.4645181042833308</v>
      </c>
      <c r="H27" s="56">
        <f t="shared" ca="1" si="2"/>
        <v>2.28612952138911</v>
      </c>
      <c r="I27" s="57">
        <f t="shared" ca="1" si="6"/>
        <v>5.8129305628030181</v>
      </c>
      <c r="J27" s="56">
        <f t="shared" ca="1" si="7"/>
        <v>33.697786140904725</v>
      </c>
      <c r="K27" s="56">
        <f t="shared" ca="1" si="10"/>
        <v>41.051932296919176</v>
      </c>
      <c r="L27" s="56">
        <f t="shared" ca="1" si="10"/>
        <v>29.013795447999623</v>
      </c>
      <c r="M27" s="57">
        <f t="shared" ca="1" si="8"/>
        <v>67.331575169820411</v>
      </c>
      <c r="N27" s="54">
        <f>B27/SE</f>
        <v>0.35338962605548851</v>
      </c>
      <c r="O27" s="54">
        <f t="shared" si="9"/>
        <v>0.54082613768961196</v>
      </c>
      <c r="P27" s="54">
        <f t="shared" si="4"/>
        <v>0.32438922155688626</v>
      </c>
      <c r="Q27" s="54">
        <f t="shared" si="5"/>
        <v>0.51066387872451646</v>
      </c>
      <c r="R27" s="24">
        <f t="shared" ca="1" si="11"/>
        <v>0.83691274146283201</v>
      </c>
      <c r="S27" s="24">
        <f t="shared" ca="1" si="12"/>
        <v>0.99810085114430247</v>
      </c>
      <c r="T27" s="37">
        <v>2.9</v>
      </c>
      <c r="U27" s="37">
        <v>21.1</v>
      </c>
      <c r="V27" s="37">
        <v>10.53</v>
      </c>
      <c r="W27" s="44">
        <v>25.6</v>
      </c>
      <c r="X27" s="42">
        <v>131.21</v>
      </c>
      <c r="Y27" s="42">
        <v>535.36</v>
      </c>
      <c r="Z27" s="42"/>
    </row>
    <row r="28" spans="1:26" s="1" customFormat="1" x14ac:dyDescent="0.3">
      <c r="A28" s="8">
        <v>44253</v>
      </c>
      <c r="B28" s="13">
        <v>112.2</v>
      </c>
      <c r="C28" s="13">
        <v>421</v>
      </c>
      <c r="D28" s="13">
        <v>230.65</v>
      </c>
      <c r="E28" s="14">
        <v>24.67</v>
      </c>
      <c r="F28" s="58">
        <f t="shared" ca="1" si="0"/>
        <v>1.2119679593443806</v>
      </c>
      <c r="G28" s="58">
        <f ca="1">C28/SPE</f>
        <v>1.5734626591230951</v>
      </c>
      <c r="H28" s="58">
        <f t="shared" ca="1" si="2"/>
        <v>0.97335531373266793</v>
      </c>
      <c r="I28" s="59">
        <f t="shared" ca="1" si="6"/>
        <v>1.4679598421982851</v>
      </c>
      <c r="J28" s="58">
        <f t="shared" ca="1" si="7"/>
        <v>34.909754100249103</v>
      </c>
      <c r="K28" s="58">
        <f t="shared" ca="1" si="10"/>
        <v>42.625394956042271</v>
      </c>
      <c r="L28" s="58">
        <f t="shared" ca="1" si="10"/>
        <v>29.987150761732291</v>
      </c>
      <c r="M28" s="59">
        <f t="shared" ca="1" si="8"/>
        <v>68.799535012018694</v>
      </c>
      <c r="N28" s="55">
        <f t="shared" si="3"/>
        <v>0.13534378769601929</v>
      </c>
      <c r="O28" s="55">
        <f t="shared" si="9"/>
        <v>0.2456242707117853</v>
      </c>
      <c r="P28" s="55">
        <f t="shared" si="4"/>
        <v>0.13811377245508982</v>
      </c>
      <c r="Q28" s="55">
        <f t="shared" si="5"/>
        <v>0.12895974908520649</v>
      </c>
      <c r="R28" s="25">
        <f t="shared" ca="1" si="11"/>
        <v>0.21122000864807056</v>
      </c>
      <c r="S28" s="25">
        <f t="shared" ca="1" si="12"/>
        <v>0.97078257310118854</v>
      </c>
      <c r="T28" s="38">
        <v>0.5</v>
      </c>
      <c r="U28" s="38">
        <v>12.1</v>
      </c>
      <c r="V28" s="38">
        <v>5.81</v>
      </c>
      <c r="W28" s="45">
        <v>39.96</v>
      </c>
      <c r="X28" s="43">
        <v>148.29</v>
      </c>
      <c r="Y28" s="43">
        <v>244.83</v>
      </c>
      <c r="Z28" s="43"/>
    </row>
    <row r="29" spans="1:26" s="1" customFormat="1" x14ac:dyDescent="0.3">
      <c r="A29" s="7">
        <v>44254</v>
      </c>
      <c r="B29" s="15">
        <v>0</v>
      </c>
      <c r="C29" s="15">
        <v>0</v>
      </c>
      <c r="D29" s="15">
        <v>0</v>
      </c>
      <c r="E29" s="16">
        <v>0</v>
      </c>
      <c r="F29" s="56">
        <f t="shared" ca="1" si="0"/>
        <v>0</v>
      </c>
      <c r="G29" s="56">
        <v>0</v>
      </c>
      <c r="H29" s="56">
        <f t="shared" ca="1" si="2"/>
        <v>0</v>
      </c>
      <c r="I29" s="57">
        <f t="shared" ca="1" si="6"/>
        <v>0</v>
      </c>
      <c r="J29" s="56">
        <f t="shared" ca="1" si="7"/>
        <v>34.909754100249103</v>
      </c>
      <c r="K29" s="56">
        <f t="shared" ca="1" si="10"/>
        <v>42.625394956042271</v>
      </c>
      <c r="L29" s="56">
        <f t="shared" ca="1" si="10"/>
        <v>29.987150761732291</v>
      </c>
      <c r="M29" s="57">
        <f t="shared" ca="1" si="8"/>
        <v>68.799535012018694</v>
      </c>
      <c r="N29" s="54">
        <f>B29/SE</f>
        <v>0</v>
      </c>
      <c r="O29" s="54">
        <f t="shared" si="9"/>
        <v>0</v>
      </c>
      <c r="P29" s="54">
        <f t="shared" si="4"/>
        <v>0</v>
      </c>
      <c r="Q29" s="54">
        <f t="shared" si="5"/>
        <v>0</v>
      </c>
      <c r="R29" s="24" t="e">
        <f ca="1">(I29-MAX(F29:F29))/MAX(F29:F29)</f>
        <v>#DIV/0!</v>
      </c>
      <c r="S29" s="26">
        <f t="shared" ca="1" si="12"/>
        <v>0.97078257310118854</v>
      </c>
      <c r="T29" s="37">
        <v>2.5</v>
      </c>
      <c r="U29" s="37">
        <v>11.5</v>
      </c>
      <c r="V29" s="37">
        <v>6.5</v>
      </c>
      <c r="W29" s="44">
        <v>50.4</v>
      </c>
      <c r="X29" s="42">
        <v>148.29</v>
      </c>
      <c r="Y29" s="42">
        <v>641.82000000000005</v>
      </c>
      <c r="Z29" s="42" t="s">
        <v>49</v>
      </c>
    </row>
    <row r="30" spans="1:26" s="1" customFormat="1" x14ac:dyDescent="0.3">
      <c r="A30" s="8">
        <v>44255</v>
      </c>
      <c r="B30" s="13">
        <v>0</v>
      </c>
      <c r="C30" s="13">
        <v>0</v>
      </c>
      <c r="D30" s="13">
        <v>0</v>
      </c>
      <c r="E30" s="14">
        <v>0</v>
      </c>
      <c r="F30" s="58">
        <f t="shared" ca="1" si="0"/>
        <v>0</v>
      </c>
      <c r="G30" s="58">
        <v>0</v>
      </c>
      <c r="H30" s="58">
        <f t="shared" ca="1" si="2"/>
        <v>0</v>
      </c>
      <c r="I30" s="59">
        <f t="shared" ca="1" si="6"/>
        <v>0</v>
      </c>
      <c r="J30" s="58">
        <f t="shared" ca="1" si="7"/>
        <v>34.909754100249103</v>
      </c>
      <c r="K30" s="58">
        <f t="shared" ca="1" si="10"/>
        <v>42.625394956042271</v>
      </c>
      <c r="L30" s="58">
        <f t="shared" ca="1" si="10"/>
        <v>29.987150761732291</v>
      </c>
      <c r="M30" s="59">
        <f t="shared" ca="1" si="8"/>
        <v>68.799535012018694</v>
      </c>
      <c r="N30" s="55">
        <f t="shared" si="3"/>
        <v>0</v>
      </c>
      <c r="O30" s="55">
        <f t="shared" si="9"/>
        <v>0</v>
      </c>
      <c r="P30" s="55">
        <f t="shared" si="4"/>
        <v>0</v>
      </c>
      <c r="Q30" s="55">
        <f t="shared" si="5"/>
        <v>0</v>
      </c>
      <c r="R30" s="25" t="e">
        <f ca="1">(I30-MAX(F30:F30))/MAX(F30:F30)</f>
        <v>#DIV/0!</v>
      </c>
      <c r="S30" s="25">
        <f t="shared" ca="1" si="12"/>
        <v>0.97078257310118854</v>
      </c>
      <c r="T30" s="38">
        <v>0.5</v>
      </c>
      <c r="U30" s="38">
        <v>12.1</v>
      </c>
      <c r="V30" s="38">
        <v>5.81</v>
      </c>
      <c r="W30" s="45">
        <v>39.96</v>
      </c>
      <c r="X30" s="43">
        <v>150.47</v>
      </c>
      <c r="Y30" s="43">
        <v>605.94000000000005</v>
      </c>
      <c r="Z30" s="43" t="s">
        <v>49</v>
      </c>
    </row>
    <row r="31" spans="1:26" s="1" customFormat="1" x14ac:dyDescent="0.3">
      <c r="A31" s="7">
        <v>44256</v>
      </c>
      <c r="B31" s="15">
        <v>332.97000000000116</v>
      </c>
      <c r="C31" s="51">
        <v>1089.9839999999967</v>
      </c>
      <c r="D31" s="51">
        <v>787.125</v>
      </c>
      <c r="E31" s="16">
        <v>85.906999999999996</v>
      </c>
      <c r="F31" s="56">
        <f t="shared" ref="F31:F37" ca="1" si="13">B31/PRDEPI</f>
        <v>3.5966931499367183</v>
      </c>
      <c r="G31" s="56">
        <f ca="1">C31/SPE</f>
        <v>4.0737508860846141</v>
      </c>
      <c r="H31" s="56">
        <f t="shared" ca="1" si="2"/>
        <v>3.3217095223144426</v>
      </c>
      <c r="I31" s="57">
        <f t="shared" ref="I31:I45" ca="1" si="14">E31/PRBE</f>
        <v>5.111796763831701</v>
      </c>
      <c r="J31" s="56">
        <f t="shared" ref="J31:J37" ca="1" si="15">F31+J30</f>
        <v>38.506447250185822</v>
      </c>
      <c r="K31" s="56">
        <f t="shared" ref="K31:L37" ca="1" si="16">G31+K30</f>
        <v>46.699145842126882</v>
      </c>
      <c r="L31" s="56">
        <f t="shared" ca="1" si="16"/>
        <v>33.30886028404673</v>
      </c>
      <c r="M31" s="57">
        <f t="shared" ref="M31:M37" ca="1" si="17">I31+M30</f>
        <v>73.9113317758504</v>
      </c>
      <c r="N31" s="54">
        <f t="shared" si="3"/>
        <v>0.40165259348612925</v>
      </c>
      <c r="O31" s="54">
        <f t="shared" si="9"/>
        <v>0.6359299883313867</v>
      </c>
      <c r="P31" s="54">
        <f t="shared" si="4"/>
        <v>0.47133233532934132</v>
      </c>
      <c r="Q31" s="54">
        <f t="shared" si="5"/>
        <v>0.44906952430737057</v>
      </c>
      <c r="R31" s="24">
        <f ca="1">(I31-MAX(F31,H31))/MAX(F31,G31)</f>
        <v>0.37191857240715753</v>
      </c>
      <c r="S31" s="24">
        <f t="shared" ca="1" si="12"/>
        <v>0.91945341764796862</v>
      </c>
      <c r="T31" s="37">
        <v>-1.5</v>
      </c>
      <c r="U31" s="37">
        <v>14.5</v>
      </c>
      <c r="V31" s="37">
        <v>5.45</v>
      </c>
      <c r="W31" s="44">
        <v>23.76</v>
      </c>
      <c r="X31" s="42">
        <v>150</v>
      </c>
      <c r="Y31" s="42">
        <v>601.82000000000005</v>
      </c>
      <c r="Z31" s="42"/>
    </row>
    <row r="32" spans="1:26" s="1" customFormat="1" x14ac:dyDescent="0.3">
      <c r="A32" s="8">
        <v>44257</v>
      </c>
      <c r="B32" s="13">
        <v>329.02099999999336</v>
      </c>
      <c r="C32" s="13">
        <v>1049.0240000000049</v>
      </c>
      <c r="D32" s="13">
        <v>776.20799999999997</v>
      </c>
      <c r="E32" s="14">
        <v>105.494</v>
      </c>
      <c r="F32" s="58">
        <f t="shared" ca="1" si="13"/>
        <v>3.5540366305832389</v>
      </c>
      <c r="G32" s="58">
        <f t="shared" ref="G32:G38" ca="1" si="18">C32/SPE</f>
        <v>3.9206653029072527</v>
      </c>
      <c r="H32" s="58">
        <f t="shared" ca="1" si="2"/>
        <v>3.2756391994875642</v>
      </c>
      <c r="I32" s="59">
        <f t="shared" ca="1" si="14"/>
        <v>6.2772985647695938</v>
      </c>
      <c r="J32" s="58">
        <f t="shared" ca="1" si="15"/>
        <v>42.060483880769063</v>
      </c>
      <c r="K32" s="58">
        <f t="shared" ca="1" si="16"/>
        <v>50.619811145034134</v>
      </c>
      <c r="L32" s="58">
        <f t="shared" ca="1" si="16"/>
        <v>36.584499483534294</v>
      </c>
      <c r="M32" s="59">
        <f t="shared" ca="1" si="17"/>
        <v>80.188630340619994</v>
      </c>
      <c r="N32" s="55">
        <f t="shared" si="3"/>
        <v>0.39688902291917172</v>
      </c>
      <c r="O32" s="55">
        <f t="shared" si="9"/>
        <v>0.6120326721120215</v>
      </c>
      <c r="P32" s="55">
        <f t="shared" si="4"/>
        <v>0.46479520958083831</v>
      </c>
      <c r="Q32" s="55">
        <f t="shared" si="5"/>
        <v>0.55145844223732354</v>
      </c>
      <c r="R32" s="25">
        <f ca="1">(I32-MAX(F32,H32))/MAX(F32,H32)</f>
        <v>0.76624475694822847</v>
      </c>
      <c r="S32" s="25">
        <f t="shared" ca="1" si="12"/>
        <v>0.90650755630711899</v>
      </c>
      <c r="T32" s="38">
        <v>-2.4</v>
      </c>
      <c r="U32" s="38">
        <v>16.2</v>
      </c>
      <c r="V32" s="38">
        <v>5.85</v>
      </c>
      <c r="W32" s="45">
        <v>14.76</v>
      </c>
      <c r="X32" s="43">
        <v>148.22</v>
      </c>
      <c r="Y32" s="43">
        <v>593.17999999999995</v>
      </c>
      <c r="Z32" s="43"/>
    </row>
    <row r="33" spans="1:26" s="1" customFormat="1" x14ac:dyDescent="0.3">
      <c r="A33" s="7">
        <v>44258</v>
      </c>
      <c r="B33" s="15">
        <v>152.02499999996508</v>
      </c>
      <c r="C33" s="15">
        <v>443.98399999999674</v>
      </c>
      <c r="D33" s="15">
        <v>362.83600000000001</v>
      </c>
      <c r="E33" s="16">
        <v>33.720999999999997</v>
      </c>
      <c r="F33" s="56">
        <f t="shared" ca="1" si="13"/>
        <v>1.6421517737904379</v>
      </c>
      <c r="G33" s="56">
        <f t="shared" ca="1" si="18"/>
        <v>1.6593640029646155</v>
      </c>
      <c r="H33" s="56">
        <f t="shared" ca="1" si="2"/>
        <v>1.5311872907587527</v>
      </c>
      <c r="I33" s="57">
        <f t="shared" ca="1" si="14"/>
        <v>2.0065291381746397</v>
      </c>
      <c r="J33" s="56">
        <f t="shared" ca="1" si="15"/>
        <v>43.702635654559501</v>
      </c>
      <c r="K33" s="56">
        <f t="shared" ca="1" si="16"/>
        <v>52.27917514799875</v>
      </c>
      <c r="L33" s="56">
        <f t="shared" ca="1" si="16"/>
        <v>38.115686774293046</v>
      </c>
      <c r="M33" s="57">
        <f t="shared" ca="1" si="17"/>
        <v>82.195159478794636</v>
      </c>
      <c r="N33" s="54">
        <f t="shared" si="3"/>
        <v>0.18338359469235835</v>
      </c>
      <c r="O33" s="54">
        <f t="shared" si="9"/>
        <v>0.25903383897316029</v>
      </c>
      <c r="P33" s="54">
        <f t="shared" si="4"/>
        <v>0.21726706586826347</v>
      </c>
      <c r="Q33" s="54">
        <f t="shared" si="5"/>
        <v>0.17627286983795085</v>
      </c>
      <c r="R33" s="24">
        <f ca="1">(I33-MAX(F33,H33))/MAX(F33,H33)</f>
        <v>0.22189018713120584</v>
      </c>
      <c r="S33" s="26">
        <f t="shared" ca="1" si="12"/>
        <v>0.88078266328129817</v>
      </c>
      <c r="T33" s="37">
        <v>1.3</v>
      </c>
      <c r="U33" s="37">
        <v>13.4</v>
      </c>
      <c r="V33" s="37">
        <v>6.74</v>
      </c>
      <c r="W33" s="44">
        <v>15.84</v>
      </c>
      <c r="X33" s="42">
        <v>68.599999999999994</v>
      </c>
      <c r="Y33" s="42">
        <v>343.58</v>
      </c>
      <c r="Z33" s="42"/>
    </row>
    <row r="34" spans="1:26" s="1" customFormat="1" x14ac:dyDescent="0.3">
      <c r="A34" s="8">
        <v>44259</v>
      </c>
      <c r="B34" s="13">
        <v>200.13700000006065</v>
      </c>
      <c r="C34" s="13">
        <v>561.98399999999674</v>
      </c>
      <c r="D34" s="13">
        <v>483.53000000000009</v>
      </c>
      <c r="E34" s="14">
        <v>50.831000000000003</v>
      </c>
      <c r="F34" s="58">
        <f t="shared" ca="1" si="13"/>
        <v>2.1618505479445616</v>
      </c>
      <c r="G34" s="58">
        <f t="shared" ca="1" si="18"/>
        <v>2.1003820404385469</v>
      </c>
      <c r="H34" s="58">
        <f t="shared" ca="1" si="2"/>
        <v>2.0405224142603817</v>
      </c>
      <c r="I34" s="59">
        <f t="shared" ca="1" si="14"/>
        <v>3.0246399164483595</v>
      </c>
      <c r="J34" s="58">
        <f t="shared" ca="1" si="15"/>
        <v>45.864486202504061</v>
      </c>
      <c r="K34" s="58">
        <f t="shared" ca="1" si="16"/>
        <v>54.379557188437296</v>
      </c>
      <c r="L34" s="58">
        <f t="shared" ca="1" si="16"/>
        <v>40.156209188553426</v>
      </c>
      <c r="M34" s="59">
        <f t="shared" ca="1" si="17"/>
        <v>85.219799395243001</v>
      </c>
      <c r="N34" s="55">
        <f t="shared" si="3"/>
        <v>0.24141978287100199</v>
      </c>
      <c r="O34" s="55">
        <f t="shared" si="9"/>
        <v>0.32787864644107162</v>
      </c>
      <c r="P34" s="55">
        <f t="shared" si="4"/>
        <v>0.28953892215568866</v>
      </c>
      <c r="Q34" s="55">
        <f t="shared" si="5"/>
        <v>0.26571353894406691</v>
      </c>
      <c r="R34" s="25">
        <f ca="1">(I34-MAX(F34,H34))/MAX(F34,H34)</f>
        <v>0.39909760150817014</v>
      </c>
      <c r="S34" s="25">
        <f t="shared" ca="1" si="12"/>
        <v>0.85807814392544657</v>
      </c>
      <c r="T34" s="38">
        <v>3</v>
      </c>
      <c r="U34" s="38">
        <v>15.6</v>
      </c>
      <c r="V34" s="38">
        <v>8.69</v>
      </c>
      <c r="W34" s="45">
        <v>35.28</v>
      </c>
      <c r="X34" s="43">
        <v>87.4</v>
      </c>
      <c r="Y34" s="43">
        <v>576.08000000000004</v>
      </c>
      <c r="Z34" s="43"/>
    </row>
    <row r="35" spans="1:26" s="1" customFormat="1" x14ac:dyDescent="0.3">
      <c r="A35" s="7">
        <v>44260</v>
      </c>
      <c r="B35" s="15">
        <v>61.94299999998475</v>
      </c>
      <c r="C35" s="51">
        <v>288.99199999999837</v>
      </c>
      <c r="D35" s="51">
        <v>151.072</v>
      </c>
      <c r="E35" s="16">
        <v>11.538</v>
      </c>
      <c r="F35" s="56">
        <f t="shared" ca="1" si="13"/>
        <v>0.66909920949777613</v>
      </c>
      <c r="G35" s="56">
        <f t="shared" ca="1" si="18"/>
        <v>1.0800905481836078</v>
      </c>
      <c r="H35" s="56">
        <f t="shared" ref="H35:H61" ca="1" si="19">D35/PRAC</f>
        <v>0.63753190529469594</v>
      </c>
      <c r="I35" s="57">
        <f t="shared" ca="1" si="14"/>
        <v>0.68655535708487281</v>
      </c>
      <c r="J35" s="56">
        <f t="shared" ca="1" si="15"/>
        <v>46.533585412001834</v>
      </c>
      <c r="K35" s="56">
        <f t="shared" ca="1" si="16"/>
        <v>55.459647736620902</v>
      </c>
      <c r="L35" s="56">
        <f t="shared" ca="1" si="16"/>
        <v>40.793741093848119</v>
      </c>
      <c r="M35" s="57">
        <f t="shared" ca="1" si="17"/>
        <v>85.906354752327871</v>
      </c>
      <c r="N35" s="54">
        <f t="shared" si="3"/>
        <v>7.4720144752695714E-2</v>
      </c>
      <c r="O35" s="54">
        <f t="shared" si="9"/>
        <v>0.16860676779463149</v>
      </c>
      <c r="P35" s="54">
        <f t="shared" ref="P35:P61" si="20">D35/SAC</f>
        <v>9.0462275449101792E-2</v>
      </c>
      <c r="Q35" s="54">
        <f t="shared" si="5"/>
        <v>6.0313643491897544E-2</v>
      </c>
      <c r="R35" s="24">
        <f ca="1">(I35-MAX(F35,H35))/MAX(F35,G35)</f>
        <v>1.6161744602295379E-2</v>
      </c>
      <c r="S35" s="24">
        <f t="shared" ca="1" si="12"/>
        <v>0.84611510142029811</v>
      </c>
      <c r="T35" s="37">
        <v>4.5</v>
      </c>
      <c r="U35" s="37">
        <v>6.2</v>
      </c>
      <c r="V35" s="37">
        <v>5.13</v>
      </c>
      <c r="W35" s="44">
        <v>39.24</v>
      </c>
      <c r="X35" s="42">
        <v>27.02</v>
      </c>
      <c r="Y35" s="42">
        <v>129.18</v>
      </c>
      <c r="Z35" s="42"/>
    </row>
    <row r="36" spans="1:26" s="1" customFormat="1" x14ac:dyDescent="0.3">
      <c r="A36" s="8">
        <v>44261</v>
      </c>
      <c r="B36" s="13">
        <v>368.82999999997264</v>
      </c>
      <c r="C36" s="13">
        <v>1231.0080000000016</v>
      </c>
      <c r="D36" s="13">
        <v>873.96599999999989</v>
      </c>
      <c r="E36" s="14">
        <v>114.205</v>
      </c>
      <c r="F36" s="58">
        <f t="shared" ca="1" si="13"/>
        <v>3.9840476153739282</v>
      </c>
      <c r="G36" s="58">
        <f t="shared" ca="1" si="18"/>
        <v>4.6008197650399181</v>
      </c>
      <c r="H36" s="58">
        <f t="shared" ca="1" si="19"/>
        <v>3.6881831785028605</v>
      </c>
      <c r="I36" s="59">
        <f t="shared" ca="1" si="14"/>
        <v>6.7956365536382304</v>
      </c>
      <c r="J36" s="58">
        <f t="shared" ca="1" si="15"/>
        <v>50.517633027375766</v>
      </c>
      <c r="K36" s="58">
        <f t="shared" ca="1" si="16"/>
        <v>60.060467501660817</v>
      </c>
      <c r="L36" s="58">
        <f t="shared" ca="1" si="16"/>
        <v>44.48192427235098</v>
      </c>
      <c r="M36" s="59">
        <f t="shared" ca="1" si="17"/>
        <v>92.701991305966104</v>
      </c>
      <c r="N36" s="55">
        <f t="shared" si="3"/>
        <v>0.44490952955364615</v>
      </c>
      <c r="O36" s="55">
        <f t="shared" si="9"/>
        <v>0.71820770128354816</v>
      </c>
      <c r="P36" s="55">
        <f t="shared" si="20"/>
        <v>0.52333293413173643</v>
      </c>
      <c r="Q36" s="55">
        <f t="shared" si="5"/>
        <v>0.59699424986931515</v>
      </c>
      <c r="R36" s="25">
        <f ca="1">(I36-MAX(F36,H36))/MAX(F36,H36)</f>
        <v>0.70571168060711464</v>
      </c>
      <c r="S36" s="25">
        <f t="shared" ca="1" si="12"/>
        <v>0.83504225654694508</v>
      </c>
      <c r="T36" s="38">
        <v>-1.9</v>
      </c>
      <c r="U36" s="38">
        <v>9.6</v>
      </c>
      <c r="V36" s="38">
        <v>3.12</v>
      </c>
      <c r="W36" s="45">
        <v>37.44</v>
      </c>
      <c r="X36" s="43">
        <v>163.69999999999999</v>
      </c>
      <c r="Y36" s="43">
        <v>640.08000000000004</v>
      </c>
      <c r="Z36" s="43"/>
    </row>
    <row r="37" spans="1:26" s="1" customFormat="1" x14ac:dyDescent="0.3">
      <c r="A37" s="7">
        <v>44262</v>
      </c>
      <c r="B37" s="15">
        <v>337.65200000000186</v>
      </c>
      <c r="C37" s="15">
        <v>1069.0240000000049</v>
      </c>
      <c r="D37" s="15">
        <v>791.98699999999997</v>
      </c>
      <c r="E37" s="16">
        <v>101.824</v>
      </c>
      <c r="F37" s="56">
        <f t="shared" ca="1" si="13"/>
        <v>3.647267427883699</v>
      </c>
      <c r="G37" s="56">
        <f t="shared" ca="1" si="18"/>
        <v>3.9954141228180884</v>
      </c>
      <c r="H37" s="56">
        <f t="shared" ca="1" si="19"/>
        <v>3.3422274218824817</v>
      </c>
      <c r="I37" s="57">
        <f t="shared" ca="1" si="14"/>
        <v>6.0589194556951025</v>
      </c>
      <c r="J37" s="56">
        <f t="shared" ca="1" si="15"/>
        <v>54.164900455259463</v>
      </c>
      <c r="K37" s="56">
        <f t="shared" ca="1" si="16"/>
        <v>64.0558816244789</v>
      </c>
      <c r="L37" s="56">
        <f t="shared" ca="1" si="16"/>
        <v>47.824151694233464</v>
      </c>
      <c r="M37" s="57">
        <f t="shared" ca="1" si="17"/>
        <v>98.760910761661208</v>
      </c>
      <c r="N37" s="54">
        <f t="shared" si="3"/>
        <v>0.40730036188178753</v>
      </c>
      <c r="O37" s="54">
        <f t="shared" si="9"/>
        <v>0.62370128354726073</v>
      </c>
      <c r="P37" s="54">
        <f t="shared" si="20"/>
        <v>0.47424371257485026</v>
      </c>
      <c r="Q37" s="54">
        <f t="shared" si="5"/>
        <v>0.53227391531625712</v>
      </c>
      <c r="R37" s="24">
        <f ca="1">(I37-MAX(F37,H37))/MAX(F37,H37)</f>
        <v>0.66122160644818617</v>
      </c>
      <c r="S37" s="26">
        <f t="shared" ca="1" si="12"/>
        <v>0.82333780606203311</v>
      </c>
      <c r="T37" s="37">
        <v>-2.4</v>
      </c>
      <c r="U37" s="37">
        <v>10.5</v>
      </c>
      <c r="V37" s="37">
        <v>3.35</v>
      </c>
      <c r="W37" s="44">
        <v>21.6</v>
      </c>
      <c r="X37" s="42">
        <v>149.38</v>
      </c>
      <c r="Y37" s="42">
        <v>610.36</v>
      </c>
      <c r="Z37" s="42"/>
    </row>
    <row r="38" spans="1:26" s="1" customFormat="1" x14ac:dyDescent="0.3">
      <c r="A38" s="8">
        <v>44263</v>
      </c>
      <c r="B38" s="13">
        <v>355.33700000002864</v>
      </c>
      <c r="C38" s="13">
        <v>1172</v>
      </c>
      <c r="D38" s="13">
        <v>845.08600000000001</v>
      </c>
      <c r="E38" s="14">
        <v>107.477</v>
      </c>
      <c r="F38" s="58">
        <f t="shared" ref="F38:F46" ca="1" si="21">B38/PRDEPI</f>
        <v>3.8382982065025746</v>
      </c>
      <c r="G38" s="58">
        <f t="shared" ca="1" si="18"/>
        <v>4.3802808467749816</v>
      </c>
      <c r="H38" s="58">
        <f t="shared" ca="1" si="19"/>
        <v>3.5663080366836568</v>
      </c>
      <c r="I38" s="59">
        <f ca="1">E38/PRBE</f>
        <v>6.3952946882831405</v>
      </c>
      <c r="J38" s="58">
        <f t="shared" ref="J38:J46" ca="1" si="22">F38+J37</f>
        <v>58.003198661762035</v>
      </c>
      <c r="K38" s="58">
        <f t="shared" ref="K38:L41" ca="1" si="23">G38+K37</f>
        <v>68.43616247125388</v>
      </c>
      <c r="L38" s="58">
        <f t="shared" ca="1" si="23"/>
        <v>51.390459730917122</v>
      </c>
      <c r="M38" s="59">
        <f t="shared" ref="M38:M46" ca="1" si="24">I38+M37</f>
        <v>105.15620544994435</v>
      </c>
      <c r="N38" s="55">
        <f>B38/SE</f>
        <v>0.42863329312428061</v>
      </c>
      <c r="O38" s="55">
        <f t="shared" si="9"/>
        <v>0.68378063010501755</v>
      </c>
      <c r="P38" s="55">
        <f t="shared" si="20"/>
        <v>0.5060395209580838</v>
      </c>
      <c r="Q38" s="55">
        <f t="shared" si="5"/>
        <v>0.56182435964453736</v>
      </c>
      <c r="R38" s="25">
        <f ca="1">(I38-MAX(F38,H38))/MAX(F38,H38)</f>
        <v>0.66617973492749538</v>
      </c>
      <c r="S38" s="25">
        <f t="shared" ca="1" si="12"/>
        <v>0.81293804266121295</v>
      </c>
      <c r="T38" s="38">
        <v>-2.1</v>
      </c>
      <c r="U38" s="38">
        <v>9.6999999999999993</v>
      </c>
      <c r="V38" s="38">
        <v>2.89</v>
      </c>
      <c r="W38" s="45">
        <v>33.479999999999997</v>
      </c>
      <c r="X38" s="43">
        <v>155.97999999999999</v>
      </c>
      <c r="Y38" s="43">
        <v>623.83000000000004</v>
      </c>
      <c r="Z38" s="43"/>
    </row>
    <row r="39" spans="1:26" s="1" customFormat="1" x14ac:dyDescent="0.3">
      <c r="A39" s="7">
        <v>44264</v>
      </c>
      <c r="B39" s="15">
        <v>277.18599999998696</v>
      </c>
      <c r="C39" s="51">
        <v>966.99199999999837</v>
      </c>
      <c r="D39" s="51">
        <v>654.39100000000008</v>
      </c>
      <c r="E39" s="16">
        <v>76.715999999999994</v>
      </c>
      <c r="F39" s="56">
        <f t="shared" ca="1" si="21"/>
        <v>2.9941225559609239</v>
      </c>
      <c r="G39" s="56">
        <f t="shared" ref="G39:G46" ca="1" si="25">C39/SPE</f>
        <v>3.6140755431609439</v>
      </c>
      <c r="H39" s="56">
        <f t="shared" ca="1" si="19"/>
        <v>2.7615649560322324</v>
      </c>
      <c r="I39" s="57">
        <f t="shared" ca="1" si="14"/>
        <v>4.5648969296345205</v>
      </c>
      <c r="J39" s="56">
        <f t="shared" ca="1" si="22"/>
        <v>60.997321217722956</v>
      </c>
      <c r="K39" s="56">
        <f t="shared" ca="1" si="23"/>
        <v>72.05023801441483</v>
      </c>
      <c r="L39" s="56">
        <f t="shared" ca="1" si="23"/>
        <v>54.152024686949353</v>
      </c>
      <c r="M39" s="57">
        <f t="shared" ca="1" si="24"/>
        <v>109.72110237957887</v>
      </c>
      <c r="N39" s="54">
        <f t="shared" ref="N39:N46" si="26">B39/SE</f>
        <v>0.33436188178526777</v>
      </c>
      <c r="O39" s="54">
        <f t="shared" ref="O39:O46" si="27">C39/SP</f>
        <v>0.56417269544924054</v>
      </c>
      <c r="P39" s="54">
        <f t="shared" si="20"/>
        <v>0.39185089820359287</v>
      </c>
      <c r="Q39" s="54">
        <f t="shared" ref="Q39:Q46" si="28">E39/SB</f>
        <v>0.40102456874019859</v>
      </c>
      <c r="R39" s="24">
        <f ca="1">(I39-MAX(F39,H39))/MAX(F39,G39)</f>
        <v>0.43462687896660995</v>
      </c>
      <c r="S39" s="24">
        <f t="shared" ca="1" si="12"/>
        <v>0.79878558909073971</v>
      </c>
      <c r="T39" s="37">
        <v>-2.7</v>
      </c>
      <c r="U39" s="37">
        <v>10.199999999999999</v>
      </c>
      <c r="V39" s="37">
        <v>4.0999999999999996</v>
      </c>
      <c r="W39" s="44">
        <v>28.8</v>
      </c>
      <c r="X39" s="42">
        <v>122.31</v>
      </c>
      <c r="Y39" s="42">
        <v>605.5</v>
      </c>
      <c r="Z39" s="42"/>
    </row>
    <row r="40" spans="1:26" s="1" customFormat="1" x14ac:dyDescent="0.3">
      <c r="A40" s="8">
        <v>44265</v>
      </c>
      <c r="B40" s="13">
        <v>206.99800000000687</v>
      </c>
      <c r="C40" s="13">
        <v>730</v>
      </c>
      <c r="D40" s="13">
        <v>488.83600000000001</v>
      </c>
      <c r="E40" s="14">
        <v>47.441000000000003</v>
      </c>
      <c r="F40" s="58">
        <f t="shared" ca="1" si="21"/>
        <v>2.2359620646022855</v>
      </c>
      <c r="G40" s="58">
        <f t="shared" ca="1" si="25"/>
        <v>2.7283319267455091</v>
      </c>
      <c r="H40" s="58">
        <f t="shared" ca="1" si="19"/>
        <v>2.0629140175322891</v>
      </c>
      <c r="I40" s="59">
        <f t="shared" ca="1" si="14"/>
        <v>2.8229218838155186</v>
      </c>
      <c r="J40" s="58">
        <f t="shared" ca="1" si="22"/>
        <v>63.233283282325239</v>
      </c>
      <c r="K40" s="58">
        <f t="shared" ca="1" si="23"/>
        <v>74.778569941160342</v>
      </c>
      <c r="L40" s="58">
        <f t="shared" ca="1" si="23"/>
        <v>56.214938704481639</v>
      </c>
      <c r="M40" s="59">
        <f t="shared" ca="1" si="24"/>
        <v>112.54402426339439</v>
      </c>
      <c r="N40" s="55">
        <f t="shared" si="26"/>
        <v>0.24969601930037016</v>
      </c>
      <c r="O40" s="55">
        <f t="shared" si="27"/>
        <v>0.42590431738623102</v>
      </c>
      <c r="P40" s="55">
        <f t="shared" si="20"/>
        <v>0.29271616766467068</v>
      </c>
      <c r="Q40" s="55">
        <f t="shared" si="28"/>
        <v>0.24799268165185573</v>
      </c>
      <c r="R40" s="25">
        <f ca="1">(I40-MAX(F40,H40))/MAX(F40,H40)</f>
        <v>0.26250884507633032</v>
      </c>
      <c r="S40" s="25">
        <f t="shared" ca="1" si="12"/>
        <v>0.77982256212927548</v>
      </c>
      <c r="T40" s="38">
        <v>1.5</v>
      </c>
      <c r="U40" s="38">
        <v>12.2</v>
      </c>
      <c r="V40" s="38">
        <v>6.58</v>
      </c>
      <c r="W40" s="45">
        <v>28.8</v>
      </c>
      <c r="X40" s="43">
        <v>69.06</v>
      </c>
      <c r="Y40" s="43">
        <v>323.54000000000002</v>
      </c>
      <c r="Z40" s="43"/>
    </row>
    <row r="41" spans="1:26" s="1" customFormat="1" x14ac:dyDescent="0.3">
      <c r="A41" s="7">
        <v>44266</v>
      </c>
      <c r="B41" s="15">
        <v>142.04099999998289</v>
      </c>
      <c r="C41" s="15">
        <v>320.01600000000326</v>
      </c>
      <c r="D41" s="15">
        <v>348.00799999999998</v>
      </c>
      <c r="E41" s="16">
        <v>33.392000000000003</v>
      </c>
      <c r="F41" s="56">
        <f t="shared" ca="1" si="21"/>
        <v>1.5343060687452266</v>
      </c>
      <c r="G41" s="56">
        <f t="shared" ca="1" si="25"/>
        <v>1.1960409176293147</v>
      </c>
      <c r="H41" s="56">
        <f t="shared" ca="1" si="19"/>
        <v>1.468612339134959</v>
      </c>
      <c r="I41" s="57">
        <f t="shared" ca="1" si="14"/>
        <v>1.9869523733557009</v>
      </c>
      <c r="J41" s="56">
        <f t="shared" ca="1" si="22"/>
        <v>64.76758935107047</v>
      </c>
      <c r="K41" s="56">
        <f t="shared" ca="1" si="23"/>
        <v>75.97461085878966</v>
      </c>
      <c r="L41" s="56">
        <f t="shared" ca="1" si="23"/>
        <v>57.683551043616596</v>
      </c>
      <c r="M41" s="57">
        <f t="shared" ca="1" si="24"/>
        <v>114.5309766367501</v>
      </c>
      <c r="N41" s="54">
        <f t="shared" si="26"/>
        <v>0.17134016887814582</v>
      </c>
      <c r="O41" s="54">
        <f t="shared" si="27"/>
        <v>0.18670711785297739</v>
      </c>
      <c r="P41" s="54">
        <f t="shared" si="20"/>
        <v>0.2083880239520958</v>
      </c>
      <c r="Q41" s="54">
        <f t="shared" si="28"/>
        <v>0.174553058024046</v>
      </c>
      <c r="R41" s="24">
        <f ca="1">(I41-MAX(F41,H41))/MAX(F41,H41)</f>
        <v>0.29501695511160542</v>
      </c>
      <c r="S41" s="26">
        <f t="shared" ca="1" si="12"/>
        <v>0.76833780266143481</v>
      </c>
      <c r="T41" s="37">
        <v>7.5</v>
      </c>
      <c r="U41" s="37">
        <v>15.6</v>
      </c>
      <c r="V41" s="37">
        <v>10.41</v>
      </c>
      <c r="W41" s="44">
        <v>84.24</v>
      </c>
      <c r="X41" s="42">
        <v>77.2</v>
      </c>
      <c r="Y41" s="42">
        <v>668.92</v>
      </c>
      <c r="Z41" s="42"/>
    </row>
    <row r="42" spans="1:26" s="1" customFormat="1" x14ac:dyDescent="0.3">
      <c r="A42" s="8">
        <v>44267</v>
      </c>
      <c r="B42" s="13">
        <v>229.70400000001246</v>
      </c>
      <c r="C42" s="13">
        <v>783.98399999999674</v>
      </c>
      <c r="D42" s="13">
        <v>451.54300000000006</v>
      </c>
      <c r="E42" s="14">
        <v>56.741999999999997</v>
      </c>
      <c r="F42" s="58">
        <f t="shared" ca="1" si="21"/>
        <v>2.4812289494942665</v>
      </c>
      <c r="G42" s="58">
        <f t="shared" ca="1" si="25"/>
        <v>2.9300939414488254</v>
      </c>
      <c r="H42" s="58">
        <f t="shared" ca="1" si="19"/>
        <v>1.9055355665674838</v>
      </c>
      <c r="I42" s="59">
        <f t="shared" ca="1" si="14"/>
        <v>3.3763671409004901</v>
      </c>
      <c r="J42" s="58">
        <f t="shared" ca="1" si="22"/>
        <v>67.248818300564736</v>
      </c>
      <c r="K42" s="58">
        <f t="shared" ref="K42:L46" ca="1" si="29">G42+K41</f>
        <v>78.904704800238491</v>
      </c>
      <c r="L42" s="58">
        <f t="shared" ca="1" si="29"/>
        <v>59.589086610184083</v>
      </c>
      <c r="M42" s="59">
        <f t="shared" ca="1" si="24"/>
        <v>117.90734377765058</v>
      </c>
      <c r="N42" s="55">
        <f t="shared" si="26"/>
        <v>0.27708564535586544</v>
      </c>
      <c r="O42" s="55">
        <f t="shared" si="27"/>
        <v>0.45740023337222679</v>
      </c>
      <c r="P42" s="55">
        <f t="shared" si="20"/>
        <v>0.27038502994011981</v>
      </c>
      <c r="Q42" s="55">
        <f t="shared" si="28"/>
        <v>0.2966126502875065</v>
      </c>
      <c r="R42" s="25">
        <f ca="1">(I42-MAX(F42,H42))/MAX(F42,H42)</f>
        <v>0.36076404460324951</v>
      </c>
      <c r="S42" s="25">
        <f t="shared" ca="1" si="12"/>
        <v>0.75329986098299118</v>
      </c>
      <c r="T42" s="38">
        <v>5.9</v>
      </c>
      <c r="U42" s="38">
        <v>12.6</v>
      </c>
      <c r="V42" s="38">
        <v>8.34</v>
      </c>
      <c r="W42" s="45">
        <v>65.16</v>
      </c>
      <c r="X42" s="43">
        <v>122.38</v>
      </c>
      <c r="Y42" s="43">
        <v>837.08</v>
      </c>
      <c r="Z42" s="43"/>
    </row>
    <row r="43" spans="1:26" s="1" customFormat="1" x14ac:dyDescent="0.3">
      <c r="A43" s="7">
        <v>44268</v>
      </c>
      <c r="B43" s="15">
        <v>175.65699999997742</v>
      </c>
      <c r="C43" s="51">
        <v>360</v>
      </c>
      <c r="D43" s="51">
        <v>349.76800000000003</v>
      </c>
      <c r="E43" s="16">
        <v>40.258000000000003</v>
      </c>
      <c r="F43" s="56">
        <f t="shared" ca="1" si="21"/>
        <v>1.8974211749957977</v>
      </c>
      <c r="G43" s="56">
        <f t="shared" ca="1" si="25"/>
        <v>1.3454787583950456</v>
      </c>
      <c r="H43" s="56">
        <f t="shared" ca="1" si="19"/>
        <v>1.4760396330962402</v>
      </c>
      <c r="I43" s="57">
        <f t="shared" ca="1" si="14"/>
        <v>2.3955057692427468</v>
      </c>
      <c r="J43" s="56">
        <f t="shared" ca="1" si="22"/>
        <v>69.146239475560535</v>
      </c>
      <c r="K43" s="56">
        <f t="shared" ca="1" si="29"/>
        <v>80.250183558633537</v>
      </c>
      <c r="L43" s="56">
        <f t="shared" ca="1" si="29"/>
        <v>61.065126243280325</v>
      </c>
      <c r="M43" s="57">
        <f t="shared" ca="1" si="24"/>
        <v>120.30284954689333</v>
      </c>
      <c r="N43" s="54">
        <f t="shared" si="26"/>
        <v>0.21189022919177011</v>
      </c>
      <c r="O43" s="54">
        <f t="shared" si="27"/>
        <v>0.2100350058343057</v>
      </c>
      <c r="P43" s="54">
        <f t="shared" si="20"/>
        <v>0.20944191616766469</v>
      </c>
      <c r="Q43" s="54">
        <f t="shared" si="28"/>
        <v>0.21044432828018819</v>
      </c>
      <c r="R43" s="24">
        <f ca="1">(I43-MAX(F43,H43))/MAX(F43,G43)</f>
        <v>0.26250607973111312</v>
      </c>
      <c r="S43" s="24">
        <f t="shared" ca="1" si="12"/>
        <v>0.73983213634363865</v>
      </c>
      <c r="T43" s="37">
        <v>4.9000000000000004</v>
      </c>
      <c r="U43" s="37">
        <v>10.9</v>
      </c>
      <c r="V43" s="37">
        <v>7.55</v>
      </c>
      <c r="W43" s="44">
        <v>80.28</v>
      </c>
      <c r="X43" s="42">
        <v>70.69</v>
      </c>
      <c r="Y43" s="42">
        <v>572.82000000000005</v>
      </c>
      <c r="Z43" s="42"/>
    </row>
    <row r="44" spans="1:26" s="1" customFormat="1" x14ac:dyDescent="0.3">
      <c r="A44" s="8">
        <v>44269</v>
      </c>
      <c r="B44" s="13">
        <v>124.97700000002806</v>
      </c>
      <c r="C44" s="13">
        <v>440.99199999999837</v>
      </c>
      <c r="D44" s="13">
        <v>251.30500000000001</v>
      </c>
      <c r="E44" s="14">
        <v>26.669</v>
      </c>
      <c r="F44" s="58">
        <f t="shared" ca="1" si="21"/>
        <v>1.3499832411320558</v>
      </c>
      <c r="G44" s="58">
        <f t="shared" ca="1" si="25"/>
        <v>1.6481815795059604</v>
      </c>
      <c r="H44" s="58">
        <f t="shared" ca="1" si="19"/>
        <v>1.060520516443044</v>
      </c>
      <c r="I44" s="59">
        <f t="shared" ca="1" si="14"/>
        <v>1.5869080272227833</v>
      </c>
      <c r="J44" s="58">
        <f t="shared" ca="1" si="22"/>
        <v>70.496222716692586</v>
      </c>
      <c r="K44" s="58">
        <f t="shared" ca="1" si="29"/>
        <v>81.898365138139496</v>
      </c>
      <c r="L44" s="58">
        <f t="shared" ca="1" si="29"/>
        <v>62.125646759723367</v>
      </c>
      <c r="M44" s="59">
        <f t="shared" ca="1" si="24"/>
        <v>121.88975757411612</v>
      </c>
      <c r="N44" s="55">
        <f t="shared" si="26"/>
        <v>0.1507563329312763</v>
      </c>
      <c r="O44" s="55">
        <f t="shared" si="27"/>
        <v>0.25728821470244945</v>
      </c>
      <c r="P44" s="55">
        <f t="shared" si="20"/>
        <v>0.15048203592814371</v>
      </c>
      <c r="Q44" s="55">
        <f t="shared" si="28"/>
        <v>0.13940930475692628</v>
      </c>
      <c r="R44" s="25">
        <f ca="1">(I44-MAX(F44,H44))/MAX(F44,H44)</f>
        <v>0.17550202022659886</v>
      </c>
      <c r="S44" s="25">
        <f t="shared" ca="1" si="12"/>
        <v>0.72902537011042168</v>
      </c>
      <c r="T44" s="38">
        <v>3.1</v>
      </c>
      <c r="U44" s="38">
        <v>9.1999999999999993</v>
      </c>
      <c r="V44" s="38">
        <v>4.74</v>
      </c>
      <c r="W44" s="45">
        <v>46.8</v>
      </c>
      <c r="X44" s="43">
        <v>74.680000000000007</v>
      </c>
      <c r="Y44" s="43">
        <v>664.83</v>
      </c>
      <c r="Z44" s="43"/>
    </row>
    <row r="45" spans="1:26" s="1" customFormat="1" x14ac:dyDescent="0.3">
      <c r="A45" s="7">
        <v>44270</v>
      </c>
      <c r="B45" s="15">
        <v>225.58900000002177</v>
      </c>
      <c r="C45" s="15">
        <v>687.02400000000489</v>
      </c>
      <c r="D45" s="15">
        <v>490.80399999999997</v>
      </c>
      <c r="E45" s="16">
        <v>56.893999999999998</v>
      </c>
      <c r="F45" s="56">
        <f t="shared" ca="1" si="21"/>
        <v>2.4367793224649361</v>
      </c>
      <c r="G45" s="56">
        <f t="shared" ca="1" si="25"/>
        <v>2.5677116625211234</v>
      </c>
      <c r="H45" s="56">
        <f t="shared" ca="1" si="19"/>
        <v>2.071219082598085</v>
      </c>
      <c r="I45" s="57">
        <f t="shared" ca="1" si="14"/>
        <v>3.3854117252545288</v>
      </c>
      <c r="J45" s="56">
        <f t="shared" ca="1" si="22"/>
        <v>72.933002039157515</v>
      </c>
      <c r="K45" s="56">
        <f t="shared" ca="1" si="29"/>
        <v>84.466076800660616</v>
      </c>
      <c r="L45" s="56">
        <f t="shared" ca="1" si="29"/>
        <v>64.196865842321458</v>
      </c>
      <c r="M45" s="57">
        <f t="shared" ca="1" si="24"/>
        <v>125.27516929937065</v>
      </c>
      <c r="N45" s="54">
        <f t="shared" si="26"/>
        <v>0.27212183353440506</v>
      </c>
      <c r="O45" s="54">
        <f t="shared" si="27"/>
        <v>0.40083080513419189</v>
      </c>
      <c r="P45" s="54">
        <f t="shared" si="20"/>
        <v>0.29389461077844309</v>
      </c>
      <c r="Q45" s="54">
        <f t="shared" si="28"/>
        <v>0.2974072138003136</v>
      </c>
      <c r="R45" s="24">
        <f ca="1">(I45-MAX(F45,H45))/MAX(F45,H45)</f>
        <v>0.38929762496096648</v>
      </c>
      <c r="S45" s="26">
        <f t="shared" ca="1" si="12"/>
        <v>0.71767465751801596</v>
      </c>
      <c r="T45" s="37">
        <v>3.4</v>
      </c>
      <c r="U45" s="37">
        <v>10.8</v>
      </c>
      <c r="V45" s="37">
        <v>6.48</v>
      </c>
      <c r="W45" s="44">
        <v>52.56</v>
      </c>
      <c r="X45" s="42">
        <v>106.37</v>
      </c>
      <c r="Y45" s="42">
        <v>806.1</v>
      </c>
      <c r="Z45" s="42"/>
    </row>
    <row r="46" spans="1:26" s="1" customFormat="1" x14ac:dyDescent="0.3">
      <c r="A46" s="8">
        <v>44271</v>
      </c>
      <c r="B46" s="13">
        <v>167.58599999993748</v>
      </c>
      <c r="C46" s="13">
        <v>692.99199999999837</v>
      </c>
      <c r="D46" s="13">
        <v>431.73899999999998</v>
      </c>
      <c r="E46" s="14">
        <v>35.786999999999999</v>
      </c>
      <c r="F46" s="58">
        <f t="shared" ca="1" si="21"/>
        <v>1.8102394156382495</v>
      </c>
      <c r="G46" s="58">
        <f t="shared" ca="1" si="25"/>
        <v>2.5900167103824923</v>
      </c>
      <c r="H46" s="58">
        <f t="shared" ca="1" si="19"/>
        <v>1.8219616292895222</v>
      </c>
      <c r="I46" s="59">
        <f ca="1">E46/PRBE</f>
        <v>2.1294640807762475</v>
      </c>
      <c r="J46" s="58">
        <f t="shared" ca="1" si="22"/>
        <v>74.743241454795765</v>
      </c>
      <c r="K46" s="58">
        <f t="shared" ca="1" si="29"/>
        <v>87.056093511043102</v>
      </c>
      <c r="L46" s="58">
        <f t="shared" ca="1" si="29"/>
        <v>66.018827471610976</v>
      </c>
      <c r="M46" s="59">
        <f t="shared" ca="1" si="24"/>
        <v>127.40463338014689</v>
      </c>
      <c r="N46" s="55">
        <f t="shared" si="26"/>
        <v>0.20215440289497888</v>
      </c>
      <c r="O46" s="55">
        <f t="shared" si="27"/>
        <v>0.40431271878646347</v>
      </c>
      <c r="P46" s="55">
        <f t="shared" si="20"/>
        <v>0.2585263473053892</v>
      </c>
      <c r="Q46" s="55">
        <f t="shared" si="28"/>
        <v>0.18707266074228959</v>
      </c>
      <c r="R46" s="25">
        <f ca="1">(I46-MAX(F46,H46))/MAX(F46,H46)</f>
        <v>0.16877548162561279</v>
      </c>
      <c r="S46" s="25">
        <f t="shared" ca="1" si="12"/>
        <v>0.70456392979959803</v>
      </c>
      <c r="T46" s="38">
        <v>4.8</v>
      </c>
      <c r="U46" s="38">
        <v>9.4</v>
      </c>
      <c r="V46" s="38">
        <v>5.92</v>
      </c>
      <c r="W46" s="45">
        <v>40.32</v>
      </c>
      <c r="X46" s="43">
        <v>75.08</v>
      </c>
      <c r="Y46" s="43">
        <v>422.08</v>
      </c>
      <c r="Z46" s="43"/>
    </row>
    <row r="47" spans="1:26" s="1" customFormat="1" x14ac:dyDescent="0.3">
      <c r="A47" s="7">
        <v>44272</v>
      </c>
      <c r="B47" s="15">
        <v>173.54400000006717</v>
      </c>
      <c r="C47" s="51">
        <v>546.99199999999837</v>
      </c>
      <c r="D47" s="51">
        <v>406.76299999999992</v>
      </c>
      <c r="E47" s="16">
        <v>39.814999999999998</v>
      </c>
      <c r="F47" s="56">
        <f t="shared" ref="F47:F61" ca="1" si="30">B47/PRDEPI</f>
        <v>1.8745968586144617</v>
      </c>
      <c r="G47" s="56">
        <f t="shared" ref="G47:G61" ca="1" si="31">C47/SPE</f>
        <v>2.0443503250333905</v>
      </c>
      <c r="H47" s="56">
        <f t="shared" ca="1" si="19"/>
        <v>1.7165615758935231</v>
      </c>
      <c r="I47" s="57">
        <f t="shared" ref="I47:I61" ca="1" si="32">E47/PRBE</f>
        <v>2.3691455661582776</v>
      </c>
      <c r="J47" s="56">
        <f t="shared" ref="J47:J61" ca="1" si="33">F47+J46</f>
        <v>76.617838313410232</v>
      </c>
      <c r="K47" s="56">
        <f t="shared" ref="K47:L61" ca="1" si="34">G47+K46</f>
        <v>89.100443836076494</v>
      </c>
      <c r="L47" s="56">
        <f t="shared" ca="1" si="34"/>
        <v>67.735389047504498</v>
      </c>
      <c r="M47" s="57">
        <f t="shared" ref="M47:M61" ca="1" si="35">I47+M46</f>
        <v>129.77377894630516</v>
      </c>
      <c r="N47" s="54">
        <f t="shared" ref="N47:N61" si="36">B47/SE</f>
        <v>0.20934137515086509</v>
      </c>
      <c r="O47" s="54">
        <f t="shared" ref="O47:O61" si="37">C47/SP</f>
        <v>0.31913185530921723</v>
      </c>
      <c r="P47" s="54">
        <f t="shared" si="20"/>
        <v>0.24357065868263469</v>
      </c>
      <c r="Q47" s="54">
        <f t="shared" ref="Q47:Q61" si="38">E47/SB</f>
        <v>0.20812859383167798</v>
      </c>
      <c r="R47" s="24">
        <f ca="1">(I47-MAX(F47,H47))/MAX(F47,G47)</f>
        <v>0.24190996107075655</v>
      </c>
      <c r="S47" s="24">
        <f t="shared" ca="1" si="12"/>
        <v>0.6937802188500426</v>
      </c>
      <c r="T47" s="37">
        <v>3.4</v>
      </c>
      <c r="U47" s="37"/>
      <c r="V47" s="37">
        <v>7.8</v>
      </c>
      <c r="W47" s="44">
        <v>50.4</v>
      </c>
      <c r="X47" s="42">
        <v>66.430000000000007</v>
      </c>
      <c r="Y47" s="42">
        <v>745.33</v>
      </c>
      <c r="Z47" s="42"/>
    </row>
    <row r="48" spans="1:26" s="1" customFormat="1" x14ac:dyDescent="0.3">
      <c r="A48" s="8">
        <v>44273</v>
      </c>
      <c r="B48" s="13">
        <v>298.08399999994435</v>
      </c>
      <c r="C48" s="13">
        <v>984</v>
      </c>
      <c r="D48" s="13">
        <v>784.36699999999985</v>
      </c>
      <c r="E48" s="14">
        <v>74.058000000000007</v>
      </c>
      <c r="F48" s="58">
        <f t="shared" ca="1" si="30"/>
        <v>3.219859689778457</v>
      </c>
      <c r="G48" s="58">
        <f t="shared" ca="1" si="31"/>
        <v>3.6776419396131246</v>
      </c>
      <c r="H48" s="58">
        <f t="shared" ca="1" si="19"/>
        <v>3.3100706150728438</v>
      </c>
      <c r="I48" s="59">
        <f t="shared" ca="1" si="32"/>
        <v>4.4067357111277099</v>
      </c>
      <c r="J48" s="58">
        <f t="shared" ca="1" si="33"/>
        <v>79.837698003188692</v>
      </c>
      <c r="K48" s="58">
        <f t="shared" ca="1" si="34"/>
        <v>92.778085775689618</v>
      </c>
      <c r="L48" s="58">
        <f t="shared" ca="1" si="34"/>
        <v>71.045459662577343</v>
      </c>
      <c r="M48" s="59">
        <f t="shared" ca="1" si="35"/>
        <v>134.18051465743287</v>
      </c>
      <c r="N48" s="55">
        <f t="shared" si="36"/>
        <v>0.35957056694806316</v>
      </c>
      <c r="O48" s="55">
        <f t="shared" si="37"/>
        <v>0.57409568261376898</v>
      </c>
      <c r="P48" s="55">
        <f t="shared" si="20"/>
        <v>0.46968083832335322</v>
      </c>
      <c r="Q48" s="55">
        <f t="shared" si="38"/>
        <v>0.38713016204913747</v>
      </c>
      <c r="R48" s="25">
        <f ca="1">(I48-MAX(F48,H48))/MAX(F48,H48)</f>
        <v>0.33131169198054466</v>
      </c>
      <c r="S48" s="25">
        <f t="shared" ca="1" si="12"/>
        <v>0.68066612657185754</v>
      </c>
      <c r="T48" s="38"/>
      <c r="U48" s="38"/>
      <c r="V48" s="38"/>
      <c r="W48" s="45"/>
      <c r="X48" s="43">
        <v>147.38999999999999</v>
      </c>
      <c r="Y48" s="43">
        <v>828.83</v>
      </c>
      <c r="Z48" s="43"/>
    </row>
    <row r="49" spans="1:26" s="1" customFormat="1" x14ac:dyDescent="0.3">
      <c r="A49" s="7">
        <v>44274</v>
      </c>
      <c r="B49" s="15">
        <v>116.20999999999185</v>
      </c>
      <c r="C49" s="15">
        <v>531.98399999999674</v>
      </c>
      <c r="D49" s="15">
        <v>260.173</v>
      </c>
      <c r="E49" s="16">
        <v>23.364000000000001</v>
      </c>
      <c r="F49" s="56">
        <f t="shared" ca="1" si="30"/>
        <v>1.2552833917593635</v>
      </c>
      <c r="G49" s="56">
        <f t="shared" ca="1" si="31"/>
        <v>1.9882588105722934</v>
      </c>
      <c r="H49" s="56">
        <f t="shared" ca="1" si="19"/>
        <v>1.0979439498797721</v>
      </c>
      <c r="I49" s="57">
        <f t="shared" ca="1" si="32"/>
        <v>1.3902478213668721</v>
      </c>
      <c r="J49" s="56">
        <f t="shared" ca="1" si="33"/>
        <v>81.092981394948055</v>
      </c>
      <c r="K49" s="56">
        <f t="shared" ca="1" si="34"/>
        <v>94.766344586261908</v>
      </c>
      <c r="L49" s="56">
        <f t="shared" ca="1" si="34"/>
        <v>72.143403612457121</v>
      </c>
      <c r="M49" s="57">
        <f t="shared" ca="1" si="35"/>
        <v>135.57076247879974</v>
      </c>
      <c r="N49" s="54">
        <f t="shared" si="36"/>
        <v>0.14018094089263192</v>
      </c>
      <c r="O49" s="54">
        <f t="shared" si="37"/>
        <v>0.31037572928821278</v>
      </c>
      <c r="P49" s="54">
        <f t="shared" si="20"/>
        <v>0.15579221556886227</v>
      </c>
      <c r="Q49" s="54">
        <f t="shared" si="38"/>
        <v>0.12213277574490329</v>
      </c>
      <c r="R49" s="24">
        <f ca="1">(I49-MAX(F49,H49))/MAX(F49,H49)</f>
        <v>0.10751709971908963</v>
      </c>
      <c r="S49" s="26">
        <f t="shared" ca="1" si="12"/>
        <v>0.67179403379594516</v>
      </c>
      <c r="T49" s="37"/>
      <c r="U49" s="37"/>
      <c r="V49" s="37"/>
      <c r="W49" s="44"/>
      <c r="X49" s="42">
        <v>64.010000000000005</v>
      </c>
      <c r="Y49" s="42">
        <v>696.25</v>
      </c>
      <c r="Z49" s="42"/>
    </row>
    <row r="50" spans="1:26" s="1" customFormat="1" x14ac:dyDescent="0.3">
      <c r="A50" s="8">
        <v>44275</v>
      </c>
      <c r="B50" s="13">
        <v>318.76500000004307</v>
      </c>
      <c r="C50" s="13">
        <v>1287.0080000000016</v>
      </c>
      <c r="D50" s="13">
        <v>825.16399999999987</v>
      </c>
      <c r="E50" s="14">
        <v>81.012</v>
      </c>
      <c r="F50" s="58">
        <f t="shared" ca="1" si="30"/>
        <v>3.4432528213945068</v>
      </c>
      <c r="G50" s="58">
        <f t="shared" ca="1" si="31"/>
        <v>4.8101164607902582</v>
      </c>
      <c r="H50" s="58">
        <f t="shared" ca="1" si="19"/>
        <v>3.4822361331060181</v>
      </c>
      <c r="I50" s="59">
        <f t="shared" ca="1" si="32"/>
        <v>4.8205254453249884</v>
      </c>
      <c r="J50" s="58">
        <f t="shared" ca="1" si="33"/>
        <v>84.536234216342564</v>
      </c>
      <c r="K50" s="58">
        <f t="shared" ca="1" si="34"/>
        <v>99.576461047052163</v>
      </c>
      <c r="L50" s="58">
        <f t="shared" ca="1" si="34"/>
        <v>75.625639745563134</v>
      </c>
      <c r="M50" s="59">
        <f t="shared" ca="1" si="35"/>
        <v>140.39128792412473</v>
      </c>
      <c r="N50" s="55">
        <f t="shared" si="36"/>
        <v>0.3845174909530073</v>
      </c>
      <c r="O50" s="55">
        <f t="shared" si="37"/>
        <v>0.75087981330221798</v>
      </c>
      <c r="P50" s="55">
        <f t="shared" si="20"/>
        <v>0.49411017964071846</v>
      </c>
      <c r="Q50" s="55">
        <f t="shared" si="38"/>
        <v>0.42348144276006272</v>
      </c>
      <c r="R50" s="25">
        <f ca="1">(I50-MAX(F50,H50))/MAX(F50,H50)</f>
        <v>0.38431894365109259</v>
      </c>
      <c r="S50" s="25">
        <f t="shared" ca="1" si="12"/>
        <v>0.66072322981456222</v>
      </c>
      <c r="T50" s="38"/>
      <c r="U50" s="38"/>
      <c r="V50" s="38"/>
      <c r="W50" s="45"/>
      <c r="X50" s="43">
        <v>156.63999999999999</v>
      </c>
      <c r="Y50" s="43">
        <v>891.33</v>
      </c>
      <c r="Z50" s="43"/>
    </row>
    <row r="51" spans="1:26" s="1" customFormat="1" x14ac:dyDescent="0.3">
      <c r="A51" s="7">
        <v>44276</v>
      </c>
      <c r="B51" s="15">
        <v>133.2439999999915</v>
      </c>
      <c r="C51" s="51">
        <v>447.00800000000163</v>
      </c>
      <c r="D51" s="51">
        <v>347.17099999999999</v>
      </c>
      <c r="E51" s="16">
        <v>27.721</v>
      </c>
      <c r="F51" s="56">
        <f t="shared" ca="1" si="30"/>
        <v>1.4392821637689157</v>
      </c>
      <c r="G51" s="56">
        <f t="shared" ca="1" si="31"/>
        <v>1.6706660245351521</v>
      </c>
      <c r="H51" s="56">
        <f t="shared" ca="1" si="19"/>
        <v>1.4650801544499634</v>
      </c>
      <c r="I51" s="57">
        <f t="shared" ca="1" si="32"/>
        <v>1.6495060715678418</v>
      </c>
      <c r="J51" s="56">
        <f t="shared" ca="1" si="33"/>
        <v>85.975516380111486</v>
      </c>
      <c r="K51" s="56">
        <f t="shared" ca="1" si="34"/>
        <v>101.24712707158731</v>
      </c>
      <c r="L51" s="56">
        <f t="shared" ca="1" si="34"/>
        <v>77.090719900013099</v>
      </c>
      <c r="M51" s="57">
        <f t="shared" ca="1" si="35"/>
        <v>142.04079399569255</v>
      </c>
      <c r="N51" s="54">
        <f t="shared" si="36"/>
        <v>0.16072858866102716</v>
      </c>
      <c r="O51" s="54">
        <f t="shared" si="37"/>
        <v>0.26079813302217131</v>
      </c>
      <c r="P51" s="54">
        <f t="shared" si="20"/>
        <v>0.20788682634730538</v>
      </c>
      <c r="Q51" s="54">
        <f t="shared" si="38"/>
        <v>0.14490852064819654</v>
      </c>
      <c r="R51" s="24">
        <f ca="1">(I51-MAX(F51,H51))/MAX(F51,G51)</f>
        <v>0.11039065522936772</v>
      </c>
      <c r="S51" s="24">
        <f t="shared" ca="1" si="12"/>
        <v>0.6521074833410424</v>
      </c>
      <c r="T51" s="37"/>
      <c r="U51" s="37"/>
      <c r="V51" s="37"/>
      <c r="W51" s="44"/>
      <c r="X51" s="42">
        <v>59.13</v>
      </c>
      <c r="Y51" s="42">
        <v>348.08</v>
      </c>
      <c r="Z51" s="42"/>
    </row>
    <row r="52" spans="1:26" s="1" customFormat="1" x14ac:dyDescent="0.3">
      <c r="A52" s="8">
        <v>44277</v>
      </c>
      <c r="B52" s="13">
        <v>111.27599999999802</v>
      </c>
      <c r="C52" s="13">
        <v>350.99199999999837</v>
      </c>
      <c r="D52" s="13">
        <v>289.50099999999998</v>
      </c>
      <c r="E52" s="14">
        <v>21.117999999999999</v>
      </c>
      <c r="F52" s="58">
        <f t="shared" ca="1" si="30"/>
        <v>1.2019870467379936</v>
      </c>
      <c r="G52" s="58">
        <f t="shared" ca="1" si="31"/>
        <v>1.3118118899071991</v>
      </c>
      <c r="H52" s="58">
        <f t="shared" ca="1" si="19"/>
        <v>1.2217096756163932</v>
      </c>
      <c r="I52" s="59">
        <f t="shared" ca="1" si="32"/>
        <v>1.2566021867670605</v>
      </c>
      <c r="J52" s="58">
        <f t="shared" ca="1" si="33"/>
        <v>87.177503426849484</v>
      </c>
      <c r="K52" s="58">
        <f t="shared" ca="1" si="34"/>
        <v>102.55893896149452</v>
      </c>
      <c r="L52" s="58">
        <f t="shared" ca="1" si="34"/>
        <v>78.312429575629494</v>
      </c>
      <c r="M52" s="59">
        <f t="shared" ca="1" si="35"/>
        <v>143.29739618245961</v>
      </c>
      <c r="N52" s="55">
        <f t="shared" si="36"/>
        <v>0.1342291917973438</v>
      </c>
      <c r="O52" s="55">
        <f t="shared" si="37"/>
        <v>0.20477946324387303</v>
      </c>
      <c r="P52" s="55">
        <f t="shared" si="20"/>
        <v>0.17335389221556885</v>
      </c>
      <c r="Q52" s="55">
        <f t="shared" si="38"/>
        <v>0.11039205436487191</v>
      </c>
      <c r="R52" s="25">
        <f ca="1">(I52-MAX(F52,H52))/MAX(F52,H52)</f>
        <v>2.8560395196234194E-2</v>
      </c>
      <c r="S52" s="25">
        <f t="shared" ca="1" si="12"/>
        <v>0.6437428298540373</v>
      </c>
      <c r="T52" s="38"/>
      <c r="U52" s="38"/>
      <c r="V52" s="38"/>
      <c r="W52" s="45"/>
      <c r="X52" s="43">
        <v>47.17</v>
      </c>
      <c r="Y52" s="43">
        <v>243.5</v>
      </c>
      <c r="Z52" s="43"/>
    </row>
    <row r="53" spans="1:26" s="1" customFormat="1" x14ac:dyDescent="0.3">
      <c r="A53" s="7">
        <v>44278</v>
      </c>
      <c r="B53" s="15">
        <v>220.01300000003539</v>
      </c>
      <c r="C53" s="15">
        <v>615.00800000000163</v>
      </c>
      <c r="D53" s="15">
        <v>568.62</v>
      </c>
      <c r="E53" s="16">
        <v>47.164999999999999</v>
      </c>
      <c r="F53" s="56">
        <f t="shared" ca="1" si="30"/>
        <v>2.3765481875158474</v>
      </c>
      <c r="G53" s="56">
        <f t="shared" ca="1" si="31"/>
        <v>2.2985561117861733</v>
      </c>
      <c r="H53" s="56">
        <f t="shared" ca="1" si="19"/>
        <v>2.399606756968002</v>
      </c>
      <c r="I53" s="57">
        <f t="shared" ca="1" si="32"/>
        <v>2.8064988227516059</v>
      </c>
      <c r="J53" s="56">
        <f t="shared" ca="1" si="33"/>
        <v>89.554051614365335</v>
      </c>
      <c r="K53" s="56">
        <f t="shared" ca="1" si="34"/>
        <v>104.85749507328069</v>
      </c>
      <c r="L53" s="56">
        <f t="shared" ca="1" si="34"/>
        <v>80.712036332597492</v>
      </c>
      <c r="M53" s="57">
        <f t="shared" ca="1" si="35"/>
        <v>146.1038950052112</v>
      </c>
      <c r="N53" s="54">
        <f t="shared" si="36"/>
        <v>0.26539565741861931</v>
      </c>
      <c r="O53" s="54">
        <f t="shared" si="37"/>
        <v>0.35881446907818065</v>
      </c>
      <c r="P53" s="54">
        <f t="shared" si="20"/>
        <v>0.34049101796407188</v>
      </c>
      <c r="Q53" s="54">
        <f t="shared" si="38"/>
        <v>0.246549921589127</v>
      </c>
      <c r="R53" s="24">
        <f ca="1">(I53-MAX(F53,H53))/MAX(F53,H53)</f>
        <v>0.16956614437014178</v>
      </c>
      <c r="S53" s="26">
        <f t="shared" ca="1" si="12"/>
        <v>0.6314604685264148</v>
      </c>
      <c r="T53" s="37"/>
      <c r="U53" s="37"/>
      <c r="V53" s="37"/>
      <c r="W53" s="44"/>
      <c r="X53" s="42">
        <v>86.37</v>
      </c>
      <c r="Y53" s="42">
        <v>463.2</v>
      </c>
      <c r="Z53" s="42"/>
    </row>
    <row r="54" spans="1:26" s="1" customFormat="1" x14ac:dyDescent="0.3">
      <c r="A54" s="8">
        <v>44279</v>
      </c>
      <c r="B54" s="13">
        <v>427.21299999995972</v>
      </c>
      <c r="C54" s="13">
        <v>1192.9919999999984</v>
      </c>
      <c r="D54" s="13">
        <v>957.52199999999993</v>
      </c>
      <c r="E54" s="14">
        <v>117.44799999999999</v>
      </c>
      <c r="F54" s="58">
        <f t="shared" ca="1" si="30"/>
        <v>4.6146922265181995</v>
      </c>
      <c r="G54" s="58">
        <f t="shared" ca="1" si="31"/>
        <v>4.4587372081533889</v>
      </c>
      <c r="H54" s="58">
        <f t="shared" ca="1" si="19"/>
        <v>4.0407939593146827</v>
      </c>
      <c r="I54" s="59">
        <f t="shared" ca="1" si="32"/>
        <v>6.9886075211392047</v>
      </c>
      <c r="J54" s="58">
        <f t="shared" ca="1" si="33"/>
        <v>94.168743840883536</v>
      </c>
      <c r="K54" s="58">
        <f t="shared" ca="1" si="34"/>
        <v>109.31623228143408</v>
      </c>
      <c r="L54" s="58">
        <f t="shared" ca="1" si="34"/>
        <v>84.752830291912176</v>
      </c>
      <c r="M54" s="59">
        <f t="shared" ca="1" si="35"/>
        <v>153.09250252635042</v>
      </c>
      <c r="N54" s="55">
        <f t="shared" si="36"/>
        <v>0.51533534378764745</v>
      </c>
      <c r="O54" s="55">
        <f t="shared" si="37"/>
        <v>0.69602800466744363</v>
      </c>
      <c r="P54" s="55">
        <f t="shared" si="20"/>
        <v>0.57336646706586825</v>
      </c>
      <c r="Q54" s="55">
        <f t="shared" si="38"/>
        <v>0.61394668060637736</v>
      </c>
      <c r="R54" s="25">
        <f ca="1">(I54-MAX(F54,H54))/MAX(F54,H54)</f>
        <v>0.51442548670513011</v>
      </c>
      <c r="S54" s="25">
        <f t="shared" ca="1" si="12"/>
        <v>0.62572522773618033</v>
      </c>
      <c r="T54" s="38"/>
      <c r="U54" s="38"/>
      <c r="V54" s="38"/>
      <c r="W54" s="45"/>
      <c r="X54" s="43">
        <v>212.5</v>
      </c>
      <c r="Y54" s="43">
        <v>764</v>
      </c>
      <c r="Z54" s="43"/>
    </row>
    <row r="55" spans="1:26" s="1" customFormat="1" x14ac:dyDescent="0.3">
      <c r="A55" s="7">
        <v>44280</v>
      </c>
      <c r="B55" s="15">
        <v>334.18599999997241</v>
      </c>
      <c r="C55" s="51">
        <v>996</v>
      </c>
      <c r="D55" s="51">
        <v>644.61299999999994</v>
      </c>
      <c r="E55" s="16">
        <v>85.576999999999998</v>
      </c>
      <c r="F55" s="56">
        <f t="shared" ca="1" si="30"/>
        <v>3.6098282037560403</v>
      </c>
      <c r="G55" s="56">
        <f t="shared" ca="1" si="31"/>
        <v>3.7224912315596264</v>
      </c>
      <c r="H55" s="56">
        <f t="shared" ca="1" si="19"/>
        <v>2.7203012740132504</v>
      </c>
      <c r="I55" s="57">
        <f t="shared" ca="1" si="32"/>
        <v>5.0921604951683275</v>
      </c>
      <c r="J55" s="56">
        <f t="shared" ca="1" si="33"/>
        <v>97.778572044639574</v>
      </c>
      <c r="K55" s="56">
        <f t="shared" ca="1" si="34"/>
        <v>113.03872351299371</v>
      </c>
      <c r="L55" s="56">
        <f t="shared" ca="1" si="34"/>
        <v>87.473131565925428</v>
      </c>
      <c r="M55" s="57">
        <f t="shared" ca="1" si="35"/>
        <v>158.18466302151873</v>
      </c>
      <c r="N55" s="54">
        <f t="shared" si="36"/>
        <v>0.40311942098911024</v>
      </c>
      <c r="O55" s="54">
        <f t="shared" si="37"/>
        <v>0.58109684947491247</v>
      </c>
      <c r="P55" s="54">
        <f t="shared" si="20"/>
        <v>0.3859958083832335</v>
      </c>
      <c r="Q55" s="54">
        <f t="shared" si="38"/>
        <v>0.44734448510193409</v>
      </c>
      <c r="R55" s="24">
        <f ca="1">(I55-MAX(F55,H55))/MAX(F55,G55)</f>
        <v>0.39820974696862582</v>
      </c>
      <c r="S55" s="24">
        <f t="shared" ca="1" si="12"/>
        <v>0.61778454843154706</v>
      </c>
      <c r="T55" s="37"/>
      <c r="U55" s="37"/>
      <c r="V55" s="37"/>
      <c r="W55" s="44"/>
      <c r="X55" s="42">
        <v>144.21</v>
      </c>
      <c r="Y55" s="42">
        <v>705.33</v>
      </c>
      <c r="Z55" s="42"/>
    </row>
    <row r="56" spans="1:26" s="1" customFormat="1" x14ac:dyDescent="0.3">
      <c r="A56" s="8">
        <v>44281</v>
      </c>
      <c r="B56" s="13">
        <v>382.8750000000291</v>
      </c>
      <c r="C56" s="13">
        <v>1246</v>
      </c>
      <c r="D56" s="13">
        <v>756.76099999999997</v>
      </c>
      <c r="E56" s="14">
        <v>100.15</v>
      </c>
      <c r="F56" s="58">
        <f t="shared" ca="1" si="30"/>
        <v>4.1357596473619873</v>
      </c>
      <c r="G56" s="58">
        <f t="shared" ca="1" si="31"/>
        <v>4.6568514804450745</v>
      </c>
      <c r="H56" s="58">
        <f t="shared" ca="1" si="19"/>
        <v>3.1935718212687947</v>
      </c>
      <c r="I56" s="59">
        <f t="shared" ca="1" si="32"/>
        <v>5.9593100201118059</v>
      </c>
      <c r="J56" s="58">
        <f t="shared" ca="1" si="33"/>
        <v>101.91433169200157</v>
      </c>
      <c r="K56" s="58">
        <f t="shared" ca="1" si="34"/>
        <v>117.69557499343878</v>
      </c>
      <c r="L56" s="58">
        <f t="shared" ca="1" si="34"/>
        <v>90.666703387194218</v>
      </c>
      <c r="M56" s="59">
        <f t="shared" ca="1" si="35"/>
        <v>164.14397304163055</v>
      </c>
      <c r="N56" s="55">
        <f t="shared" si="36"/>
        <v>0.46185162846806888</v>
      </c>
      <c r="O56" s="55">
        <f t="shared" si="37"/>
        <v>0.72695449241540255</v>
      </c>
      <c r="P56" s="55">
        <f t="shared" si="20"/>
        <v>0.45315029940119761</v>
      </c>
      <c r="Q56" s="55">
        <f t="shared" si="38"/>
        <v>0.52352326189231568</v>
      </c>
      <c r="R56" s="25">
        <f ca="1">(I56-MAX(F56,H56))/MAX(F56,H56)</f>
        <v>0.44092271510820952</v>
      </c>
      <c r="S56" s="25">
        <f t="shared" ca="1" si="12"/>
        <v>0.61060736322831499</v>
      </c>
      <c r="T56" s="38"/>
      <c r="U56" s="38"/>
      <c r="V56" s="38"/>
      <c r="W56" s="45"/>
      <c r="X56" s="43">
        <v>194.72</v>
      </c>
      <c r="Y56" s="43">
        <v>807.42</v>
      </c>
      <c r="Z56" s="43"/>
    </row>
    <row r="57" spans="1:26" s="1" customFormat="1" x14ac:dyDescent="0.3">
      <c r="A57" s="7">
        <v>44282</v>
      </c>
      <c r="B57" s="15">
        <v>276.90400000000955</v>
      </c>
      <c r="C57" s="15">
        <v>864</v>
      </c>
      <c r="D57" s="15">
        <v>545.50199999999995</v>
      </c>
      <c r="E57" s="16">
        <v>63.061</v>
      </c>
      <c r="F57" s="56">
        <f t="shared" ca="1" si="30"/>
        <v>2.9910764332826019</v>
      </c>
      <c r="G57" s="56">
        <f t="shared" ca="1" si="31"/>
        <v>3.2291490201481095</v>
      </c>
      <c r="H57" s="56">
        <f t="shared" ca="1" si="19"/>
        <v>2.3020475627652188</v>
      </c>
      <c r="I57" s="57">
        <f t="shared" ca="1" si="32"/>
        <v>3.7523719338818831</v>
      </c>
      <c r="J57" s="56">
        <f t="shared" ca="1" si="33"/>
        <v>104.90540812528417</v>
      </c>
      <c r="K57" s="56">
        <f t="shared" ca="1" si="34"/>
        <v>120.9247240135869</v>
      </c>
      <c r="L57" s="56">
        <f t="shared" ca="1" si="34"/>
        <v>92.968750949959443</v>
      </c>
      <c r="M57" s="57">
        <f t="shared" ca="1" si="35"/>
        <v>167.89634497551242</v>
      </c>
      <c r="N57" s="54">
        <f t="shared" si="36"/>
        <v>0.33402171290712851</v>
      </c>
      <c r="O57" s="54">
        <f t="shared" si="37"/>
        <v>0.50408401400233371</v>
      </c>
      <c r="P57" s="54">
        <f t="shared" si="20"/>
        <v>0.32664790419161671</v>
      </c>
      <c r="Q57" s="54">
        <f t="shared" si="38"/>
        <v>0.32964453737584942</v>
      </c>
      <c r="R57" s="24">
        <f ca="1">(I57-MAX(F57,H57))/MAX(F57,H57)</f>
        <v>0.25452224895630166</v>
      </c>
      <c r="S57" s="26">
        <f t="shared" ca="1" si="12"/>
        <v>0.60045461884101148</v>
      </c>
      <c r="T57" s="37"/>
      <c r="U57" s="37"/>
      <c r="V57" s="37"/>
      <c r="W57" s="44"/>
      <c r="X57" s="42">
        <v>139.19</v>
      </c>
      <c r="Y57" s="42">
        <v>875.08</v>
      </c>
      <c r="Z57" s="42"/>
    </row>
    <row r="58" spans="1:26" s="1" customFormat="1" x14ac:dyDescent="0.3">
      <c r="A58" s="8">
        <v>44283</v>
      </c>
      <c r="B58" s="13">
        <v>445.18499999996857</v>
      </c>
      <c r="C58" s="13">
        <v>1449.0080000000016</v>
      </c>
      <c r="D58" s="13">
        <v>884.70099999999991</v>
      </c>
      <c r="E58" s="14">
        <v>118.17400000000001</v>
      </c>
      <c r="F58" s="58">
        <f t="shared" ca="1" si="30"/>
        <v>4.8088231370827978</v>
      </c>
      <c r="G58" s="58">
        <f t="shared" ca="1" si="31"/>
        <v>5.4155819020680296</v>
      </c>
      <c r="H58" s="58">
        <f t="shared" ca="1" si="19"/>
        <v>3.7334854516132885</v>
      </c>
      <c r="I58" s="59">
        <f t="shared" ca="1" si="32"/>
        <v>7.0318073121986275</v>
      </c>
      <c r="J58" s="58">
        <f t="shared" ca="1" si="33"/>
        <v>109.71423126236697</v>
      </c>
      <c r="K58" s="58">
        <f t="shared" ca="1" si="34"/>
        <v>126.34030591565492</v>
      </c>
      <c r="L58" s="58">
        <f t="shared" ca="1" si="34"/>
        <v>96.702236401572733</v>
      </c>
      <c r="M58" s="59">
        <f t="shared" ca="1" si="35"/>
        <v>174.92815228771104</v>
      </c>
      <c r="N58" s="55">
        <f t="shared" si="36"/>
        <v>0.53701447527137347</v>
      </c>
      <c r="O58" s="55">
        <f t="shared" si="37"/>
        <v>0.84539556592765552</v>
      </c>
      <c r="P58" s="55">
        <f t="shared" si="20"/>
        <v>0.52976107784431137</v>
      </c>
      <c r="Q58" s="55">
        <f t="shared" si="38"/>
        <v>0.6177417668583377</v>
      </c>
      <c r="R58" s="25">
        <f ca="1">(I58-MAX(F58,H58))/MAX(F58,H58)</f>
        <v>0.46227197627076183</v>
      </c>
      <c r="S58" s="25">
        <f t="shared" ca="1" si="12"/>
        <v>0.594398012682545</v>
      </c>
      <c r="T58" s="38"/>
      <c r="U58" s="38"/>
      <c r="V58" s="38"/>
      <c r="W58" s="45"/>
      <c r="X58" s="43">
        <v>231.16</v>
      </c>
      <c r="Y58" s="43">
        <v>787.92</v>
      </c>
      <c r="Z58" s="43"/>
    </row>
    <row r="59" spans="1:26" x14ac:dyDescent="0.3">
      <c r="A59" s="7">
        <v>44284</v>
      </c>
      <c r="B59" s="15">
        <v>436.3300000000454</v>
      </c>
      <c r="C59" s="51">
        <v>1450.9919999999984</v>
      </c>
      <c r="D59" s="51">
        <v>1120.616</v>
      </c>
      <c r="E59" s="16">
        <v>118.866</v>
      </c>
      <c r="F59" s="56">
        <f t="shared" ca="1" si="30"/>
        <v>4.7131727246059594</v>
      </c>
      <c r="G59" s="56">
        <f t="shared" ca="1" si="31"/>
        <v>5.4229969850031718</v>
      </c>
      <c r="H59" s="56">
        <f t="shared" ca="1" si="19"/>
        <v>4.7290593464289934</v>
      </c>
      <c r="I59" s="57">
        <f t="shared" ca="1" si="32"/>
        <v>7.0729839725472781</v>
      </c>
      <c r="J59" s="56">
        <f t="shared" ca="1" si="33"/>
        <v>114.42740398697292</v>
      </c>
      <c r="K59" s="56">
        <f t="shared" ca="1" si="34"/>
        <v>131.76330290065809</v>
      </c>
      <c r="L59" s="56">
        <f t="shared" ca="1" si="34"/>
        <v>101.43129574800173</v>
      </c>
      <c r="M59" s="57">
        <f t="shared" ca="1" si="35"/>
        <v>182.00113626025833</v>
      </c>
      <c r="N59" s="54">
        <f t="shared" si="36"/>
        <v>0.52633293124251557</v>
      </c>
      <c r="O59" s="54">
        <f t="shared" si="37"/>
        <v>0.84655309218202934</v>
      </c>
      <c r="P59" s="54">
        <f t="shared" si="20"/>
        <v>0.67102754491017969</v>
      </c>
      <c r="Q59" s="54">
        <f t="shared" si="38"/>
        <v>0.62135912179822261</v>
      </c>
      <c r="R59" s="24">
        <f ca="1">(I59-MAX(F59,H59))/MAX(F59,G59)</f>
        <v>0.43221942269195524</v>
      </c>
      <c r="S59" s="24">
        <f t="shared" ca="1" si="12"/>
        <v>0.59053801728280408</v>
      </c>
      <c r="T59" s="37"/>
      <c r="U59" s="37"/>
      <c r="V59" s="37"/>
      <c r="W59" s="44"/>
      <c r="X59" s="42">
        <v>225.06</v>
      </c>
      <c r="Y59" s="42">
        <v>784.08</v>
      </c>
      <c r="Z59" s="42"/>
    </row>
    <row r="60" spans="1:26" x14ac:dyDescent="0.3">
      <c r="A60" s="8">
        <v>44285</v>
      </c>
      <c r="B60" s="13">
        <v>433.12999999997555</v>
      </c>
      <c r="C60" s="13">
        <v>1442</v>
      </c>
      <c r="D60" s="13">
        <v>1151.3</v>
      </c>
      <c r="E60" s="14">
        <v>117.819</v>
      </c>
      <c r="F60" s="58">
        <f t="shared" ca="1" si="30"/>
        <v>4.6786067935009088</v>
      </c>
      <c r="G60" s="58">
        <f t="shared" ca="1" si="31"/>
        <v>5.3893899155712663</v>
      </c>
      <c r="H60" s="58">
        <f t="shared" ca="1" si="19"/>
        <v>4.8585474645585105</v>
      </c>
      <c r="I60" s="59">
        <f t="shared" ca="1" si="32"/>
        <v>7.010683447424392</v>
      </c>
      <c r="J60" s="58">
        <f t="shared" ca="1" si="33"/>
        <v>119.10601078047382</v>
      </c>
      <c r="K60" s="58">
        <f t="shared" ca="1" si="34"/>
        <v>137.15269281622935</v>
      </c>
      <c r="L60" s="58">
        <f t="shared" ca="1" si="34"/>
        <v>106.28984321256024</v>
      </c>
      <c r="M60" s="59">
        <f t="shared" ca="1" si="35"/>
        <v>189.01181970768272</v>
      </c>
      <c r="N60" s="55">
        <f t="shared" si="36"/>
        <v>0.5224728588660742</v>
      </c>
      <c r="O60" s="55">
        <f t="shared" si="37"/>
        <v>0.84130688448074675</v>
      </c>
      <c r="P60" s="55">
        <f t="shared" si="20"/>
        <v>0.68940119760479035</v>
      </c>
      <c r="Q60" s="55">
        <f t="shared" si="38"/>
        <v>0.61588604286461057</v>
      </c>
      <c r="R60" s="25">
        <f ca="1">(I60-MAX(F60,H60))/MAX(F60,H60)</f>
        <v>0.4429587234795993</v>
      </c>
      <c r="S60" s="25">
        <f t="shared" ca="1" si="12"/>
        <v>0.58692091582223671</v>
      </c>
      <c r="T60" s="38"/>
      <c r="U60" s="38"/>
      <c r="V60" s="38"/>
      <c r="W60" s="45"/>
      <c r="X60" s="43">
        <v>224.66300000000001</v>
      </c>
      <c r="Y60" s="43">
        <v>782.55</v>
      </c>
      <c r="Z60" s="43"/>
    </row>
    <row r="61" spans="1:26" x14ac:dyDescent="0.3">
      <c r="A61" s="7">
        <v>44286</v>
      </c>
      <c r="B61" s="15">
        <v>423.27699999998731</v>
      </c>
      <c r="C61" s="15">
        <v>1413.0080000000016</v>
      </c>
      <c r="D61" s="15">
        <v>1126.2570000000001</v>
      </c>
      <c r="E61" s="16">
        <v>115.55</v>
      </c>
      <c r="F61" s="56">
        <f t="shared" ca="1" si="30"/>
        <v>4.572176131260214</v>
      </c>
      <c r="G61" s="56">
        <f t="shared" ca="1" si="31"/>
        <v>5.2810340262285242</v>
      </c>
      <c r="H61" s="56">
        <f t="shared" ca="1" si="19"/>
        <v>4.7528646675855777</v>
      </c>
      <c r="I61" s="57">
        <f t="shared" ca="1" si="32"/>
        <v>6.8756692244025874</v>
      </c>
      <c r="J61" s="56">
        <f t="shared" ca="1" si="33"/>
        <v>123.67818691173403</v>
      </c>
      <c r="K61" s="56">
        <f t="shared" ca="1" si="34"/>
        <v>142.43372684245787</v>
      </c>
      <c r="L61" s="56">
        <f t="shared" ca="1" si="34"/>
        <v>111.04270788014583</v>
      </c>
      <c r="M61" s="57">
        <f t="shared" ca="1" si="35"/>
        <v>195.88748893208532</v>
      </c>
      <c r="N61" s="54">
        <f t="shared" si="36"/>
        <v>0.51058745476476153</v>
      </c>
      <c r="O61" s="54">
        <f t="shared" si="37"/>
        <v>0.82439206534422493</v>
      </c>
      <c r="P61" s="54">
        <f t="shared" si="20"/>
        <v>0.67440538922155691</v>
      </c>
      <c r="Q61" s="54">
        <f t="shared" si="38"/>
        <v>0.60402509147935179</v>
      </c>
      <c r="R61" s="24">
        <f ca="1">(I61-MAX(F61,H61))/MAX(F61,H61)</f>
        <v>0.44663686119541457</v>
      </c>
      <c r="S61" s="26">
        <f t="shared" ca="1" si="12"/>
        <v>0.58384832300206035</v>
      </c>
      <c r="T61" s="37"/>
      <c r="U61" s="37"/>
      <c r="V61" s="37"/>
      <c r="W61" s="44"/>
      <c r="X61" s="42">
        <v>223.61</v>
      </c>
      <c r="Y61" s="42">
        <v>779.46</v>
      </c>
      <c r="Z61" s="42"/>
    </row>
    <row r="62" spans="1:26" x14ac:dyDescent="0.3">
      <c r="A62" s="8">
        <v>44287</v>
      </c>
      <c r="B62" s="13">
        <v>398.96</v>
      </c>
      <c r="C62" s="13">
        <v>1332</v>
      </c>
      <c r="D62" s="13">
        <v>1059.43</v>
      </c>
      <c r="E62" s="14">
        <v>106.16</v>
      </c>
      <c r="F62" s="58">
        <f t="shared" ref="F62:F72" ca="1" si="39">B62/PRDEPI</f>
        <v>4.3095074604281107</v>
      </c>
      <c r="G62" s="58">
        <f t="shared" ref="G62:G72" ca="1" si="40">C62/SPE</f>
        <v>4.9782714060616691</v>
      </c>
      <c r="H62" s="58">
        <f t="shared" ref="H62:H72" ca="1" si="41">D62/PRAC</f>
        <v>4.4708511598864096</v>
      </c>
      <c r="I62" s="59">
        <f t="shared" ref="I62:I72" ca="1" si="42">E62/PRBE</f>
        <v>6.3169281251629483</v>
      </c>
      <c r="J62" s="58">
        <f t="shared" ref="J62:J72" ca="1" si="43">F62+J61</f>
        <v>127.98769437216214</v>
      </c>
      <c r="K62" s="58">
        <f t="shared" ref="K62:L72" ca="1" si="44">G62+K61</f>
        <v>147.41199824851955</v>
      </c>
      <c r="L62" s="58">
        <f t="shared" ca="1" si="44"/>
        <v>115.51355904003223</v>
      </c>
      <c r="M62" s="59">
        <f t="shared" ref="M62:M72" ca="1" si="45">I62+M61</f>
        <v>202.20441705724826</v>
      </c>
      <c r="N62" s="55">
        <f t="shared" ref="N62:N72" si="46">B62/SE</f>
        <v>0.48125452352231601</v>
      </c>
      <c r="O62" s="55">
        <f t="shared" ref="O62:O72" si="47">C62/SP</f>
        <v>0.77712952158693116</v>
      </c>
      <c r="P62" s="55">
        <f t="shared" ref="P62:P72" si="48">D62/SAC</f>
        <v>0.63438922155688626</v>
      </c>
      <c r="Q62" s="55">
        <f t="shared" ref="Q62:Q72" si="49">E62/SB</f>
        <v>0.55493988499738622</v>
      </c>
      <c r="R62" s="25">
        <f ca="1">(I62-MAX(F62,H62))/MAX(F62,H62)</f>
        <v>0.41291398421848646</v>
      </c>
      <c r="S62" s="25">
        <f t="shared" ref="S62:S72" ca="1" si="50">(M62-MAX(J62,L62))/MAX(J62,L62)</f>
        <v>0.57987389372980669</v>
      </c>
      <c r="T62" s="38"/>
      <c r="U62" s="38"/>
      <c r="V62" s="38"/>
      <c r="W62" s="45"/>
      <c r="X62" s="42">
        <v>215.19</v>
      </c>
      <c r="Y62" s="43">
        <v>790.18</v>
      </c>
      <c r="Z62" s="43"/>
    </row>
    <row r="63" spans="1:26" x14ac:dyDescent="0.3">
      <c r="A63" s="7">
        <v>44288</v>
      </c>
      <c r="B63" s="15">
        <v>463.99</v>
      </c>
      <c r="C63" s="51">
        <v>1566.99</v>
      </c>
      <c r="D63" s="51">
        <v>1220.3399999999999</v>
      </c>
      <c r="E63" s="16">
        <v>121.15</v>
      </c>
      <c r="F63" s="56">
        <f t="shared" ca="1" si="39"/>
        <v>5.0119519915882274</v>
      </c>
      <c r="G63" s="56">
        <f t="shared" ca="1" si="40"/>
        <v>5.8565326656040346</v>
      </c>
      <c r="H63" s="56">
        <f t="shared" ca="1" si="41"/>
        <v>5.1498999504033121</v>
      </c>
      <c r="I63" s="57">
        <f t="shared" ca="1" si="42"/>
        <v>7.2088907532355995</v>
      </c>
      <c r="J63" s="56">
        <f t="shared" ca="1" si="43"/>
        <v>132.99964636375037</v>
      </c>
      <c r="K63" s="56">
        <f t="shared" ca="1" si="44"/>
        <v>153.26853091412357</v>
      </c>
      <c r="L63" s="56">
        <f t="shared" ca="1" si="44"/>
        <v>120.66345899043554</v>
      </c>
      <c r="M63" s="57">
        <f t="shared" ca="1" si="45"/>
        <v>209.41330781048387</v>
      </c>
      <c r="N63" s="54">
        <f t="shared" si="46"/>
        <v>0.55969843184559709</v>
      </c>
      <c r="O63" s="54">
        <f t="shared" si="47"/>
        <v>0.91422987164527425</v>
      </c>
      <c r="P63" s="54">
        <f t="shared" si="48"/>
        <v>0.73074251497005982</v>
      </c>
      <c r="Q63" s="54">
        <f t="shared" si="49"/>
        <v>0.63329848405645583</v>
      </c>
      <c r="R63" s="24">
        <f ca="1">(I63-MAX(F63,H63))/MAX(F63,G63)</f>
        <v>0.35157164151494169</v>
      </c>
      <c r="S63" s="24">
        <f t="shared" ca="1" si="50"/>
        <v>0.57454033552648887</v>
      </c>
      <c r="T63" s="37"/>
      <c r="U63" s="37"/>
      <c r="V63" s="37"/>
      <c r="W63" s="44"/>
      <c r="X63" s="43">
        <v>230.32</v>
      </c>
      <c r="Y63" s="42">
        <v>803.36</v>
      </c>
      <c r="Z63" s="42"/>
    </row>
    <row r="64" spans="1:26" x14ac:dyDescent="0.3">
      <c r="A64" s="8">
        <v>44289</v>
      </c>
      <c r="B64" s="13">
        <v>355.59</v>
      </c>
      <c r="C64" s="13">
        <v>1324.02</v>
      </c>
      <c r="D64" s="13">
        <v>911.42</v>
      </c>
      <c r="E64" s="14">
        <v>84.29</v>
      </c>
      <c r="F64" s="58">
        <f t="shared" ca="1" si="39"/>
        <v>3.8410310754301982</v>
      </c>
      <c r="G64" s="58">
        <f t="shared" ca="1" si="40"/>
        <v>4.9484466269172449</v>
      </c>
      <c r="H64" s="58">
        <f t="shared" ca="1" si="41"/>
        <v>3.8462410580629878</v>
      </c>
      <c r="I64" s="59">
        <f t="shared" ca="1" si="42"/>
        <v>5.0155790473811699</v>
      </c>
      <c r="J64" s="58">
        <f t="shared" ca="1" si="43"/>
        <v>136.84067743918058</v>
      </c>
      <c r="K64" s="58">
        <f t="shared" ca="1" si="44"/>
        <v>158.21697754104082</v>
      </c>
      <c r="L64" s="58">
        <f t="shared" ca="1" si="44"/>
        <v>124.50970004849853</v>
      </c>
      <c r="M64" s="59">
        <f t="shared" ca="1" si="45"/>
        <v>214.42888685786505</v>
      </c>
      <c r="N64" s="55">
        <f t="shared" si="46"/>
        <v>0.42893848009650176</v>
      </c>
      <c r="O64" s="55">
        <f t="shared" si="47"/>
        <v>0.77247374562427074</v>
      </c>
      <c r="P64" s="55">
        <f t="shared" si="48"/>
        <v>0.54576047904191616</v>
      </c>
      <c r="Q64" s="55">
        <f t="shared" si="49"/>
        <v>0.44061683220073183</v>
      </c>
      <c r="R64" s="25">
        <f ca="1">(I64-MAX(F64,H64))/MAX(F64,H64)</f>
        <v>0.30402098351762552</v>
      </c>
      <c r="S64" s="25">
        <f t="shared" ca="1" si="50"/>
        <v>0.56699667723560399</v>
      </c>
      <c r="T64" s="38"/>
      <c r="U64" s="38"/>
      <c r="V64" s="38"/>
      <c r="W64" s="45"/>
      <c r="X64" s="42">
        <v>178.16</v>
      </c>
      <c r="Y64" s="43">
        <v>846.17</v>
      </c>
      <c r="Z64" s="43"/>
    </row>
    <row r="65" spans="1:26" x14ac:dyDescent="0.3">
      <c r="A65" s="7">
        <v>44290</v>
      </c>
      <c r="B65" s="15">
        <v>462.9</v>
      </c>
      <c r="C65" s="15">
        <v>1558.99</v>
      </c>
      <c r="D65" s="15">
        <v>1226.74</v>
      </c>
      <c r="E65" s="16">
        <v>120.62</v>
      </c>
      <c r="F65" s="56">
        <f t="shared" ca="1" si="39"/>
        <v>5.0001779713058268</v>
      </c>
      <c r="G65" s="56">
        <f t="shared" ca="1" si="40"/>
        <v>5.8266331376397007</v>
      </c>
      <c r="H65" s="56">
        <f t="shared" ca="1" si="41"/>
        <v>5.1769082920806984</v>
      </c>
      <c r="I65" s="57">
        <f t="shared" ca="1" si="42"/>
        <v>7.1773537156853324</v>
      </c>
      <c r="J65" s="56">
        <f t="shared" ca="1" si="43"/>
        <v>141.8408554104864</v>
      </c>
      <c r="K65" s="56">
        <f t="shared" ca="1" si="44"/>
        <v>164.04361067868052</v>
      </c>
      <c r="L65" s="56">
        <f t="shared" ca="1" si="44"/>
        <v>129.68660834057923</v>
      </c>
      <c r="M65" s="57">
        <f t="shared" ca="1" si="45"/>
        <v>221.60624057355039</v>
      </c>
      <c r="N65" s="54">
        <f t="shared" si="46"/>
        <v>0.55838359469240051</v>
      </c>
      <c r="O65" s="54">
        <f t="shared" si="47"/>
        <v>0.90956242707117851</v>
      </c>
      <c r="P65" s="54">
        <f t="shared" si="48"/>
        <v>0.73457485029940117</v>
      </c>
      <c r="Q65" s="54">
        <f t="shared" si="49"/>
        <v>0.63052796654469423</v>
      </c>
      <c r="R65" s="24">
        <f ca="1">(I65-MAX(F65,H65))/MAX(F65,H65)</f>
        <v>0.38641701006463391</v>
      </c>
      <c r="S65" s="26">
        <f t="shared" ca="1" si="50"/>
        <v>0.56235832004977382</v>
      </c>
      <c r="T65" s="37"/>
      <c r="U65" s="37"/>
      <c r="V65" s="37"/>
      <c r="W65" s="44"/>
      <c r="X65" s="43">
        <v>231.38</v>
      </c>
      <c r="Y65" s="42">
        <v>812.75</v>
      </c>
      <c r="Z65" s="42"/>
    </row>
    <row r="66" spans="1:26" x14ac:dyDescent="0.3">
      <c r="A66" s="8">
        <v>44291</v>
      </c>
      <c r="B66" s="13">
        <v>179.39</v>
      </c>
      <c r="C66" s="13">
        <v>571.98</v>
      </c>
      <c r="D66" s="13">
        <v>462</v>
      </c>
      <c r="E66" s="14">
        <v>36.42</v>
      </c>
      <c r="F66" s="58">
        <f t="shared" ca="1" si="39"/>
        <v>1.9377444939998967</v>
      </c>
      <c r="G66" s="58">
        <f t="shared" ca="1" si="40"/>
        <v>2.1377415006299949</v>
      </c>
      <c r="H66" s="58">
        <f t="shared" ca="1" si="41"/>
        <v>1.9496646648362999</v>
      </c>
      <c r="I66" s="59">
        <f t="shared" ca="1" si="42"/>
        <v>2.167130014303265</v>
      </c>
      <c r="J66" s="58">
        <f t="shared" ca="1" si="43"/>
        <v>143.7785999044863</v>
      </c>
      <c r="K66" s="58">
        <f t="shared" ca="1" si="44"/>
        <v>166.18135217931052</v>
      </c>
      <c r="L66" s="58">
        <f t="shared" ca="1" si="44"/>
        <v>131.63627300541552</v>
      </c>
      <c r="M66" s="59">
        <f t="shared" ca="1" si="45"/>
        <v>223.77337058785366</v>
      </c>
      <c r="N66" s="55">
        <f t="shared" si="46"/>
        <v>0.21639324487334136</v>
      </c>
      <c r="O66" s="55">
        <f t="shared" si="47"/>
        <v>0.33371061843640609</v>
      </c>
      <c r="P66" s="55">
        <f t="shared" si="48"/>
        <v>0.27664670658682633</v>
      </c>
      <c r="Q66" s="55">
        <f t="shared" si="49"/>
        <v>0.19038159958180867</v>
      </c>
      <c r="R66" s="25">
        <f ca="1">(I66-MAX(F66,H66))/MAX(F66,H66)</f>
        <v>0.1115398731838966</v>
      </c>
      <c r="S66" s="25">
        <f t="shared" ca="1" si="50"/>
        <v>0.55637466727669327</v>
      </c>
      <c r="T66" s="38"/>
      <c r="U66" s="38"/>
      <c r="V66" s="38"/>
      <c r="W66" s="45"/>
      <c r="X66" s="42">
        <v>78.400000000000006</v>
      </c>
      <c r="Y66" s="43">
        <v>615</v>
      </c>
      <c r="Z66" s="43"/>
    </row>
    <row r="67" spans="1:26" x14ac:dyDescent="0.3">
      <c r="A67" s="7">
        <v>44292</v>
      </c>
      <c r="B67" s="15">
        <v>390.27</v>
      </c>
      <c r="C67" s="51">
        <v>0</v>
      </c>
      <c r="D67" s="51">
        <v>1018.72</v>
      </c>
      <c r="E67" s="16">
        <v>91.5</v>
      </c>
      <c r="F67" s="56">
        <f t="shared" ca="1" si="39"/>
        <v>4.2156393537730068</v>
      </c>
      <c r="G67" s="56">
        <f t="shared" ca="1" si="40"/>
        <v>0</v>
      </c>
      <c r="H67" s="56">
        <f t="shared" ca="1" si="41"/>
        <v>4.2990527864979127</v>
      </c>
      <c r="I67" s="57">
        <f t="shared" ca="1" si="42"/>
        <v>5.4446017657536716</v>
      </c>
      <c r="J67" s="56">
        <f t="shared" ca="1" si="43"/>
        <v>147.99423925825931</v>
      </c>
      <c r="K67" s="56">
        <f t="shared" ca="1" si="44"/>
        <v>166.18135217931052</v>
      </c>
      <c r="L67" s="56">
        <f t="shared" ca="1" si="44"/>
        <v>135.93532579191344</v>
      </c>
      <c r="M67" s="57">
        <f t="shared" ca="1" si="45"/>
        <v>229.21797235360734</v>
      </c>
      <c r="N67" s="54">
        <f t="shared" si="46"/>
        <v>0.47077201447527139</v>
      </c>
      <c r="O67" s="54">
        <f t="shared" si="47"/>
        <v>0</v>
      </c>
      <c r="P67" s="54">
        <f t="shared" si="48"/>
        <v>0.61001197604790425</v>
      </c>
      <c r="Q67" s="54">
        <f t="shared" si="49"/>
        <v>0.47830632514375326</v>
      </c>
      <c r="R67" s="24">
        <f ca="1">(I67-MAX(F67,H67))/MAX(F67,G67)</f>
        <v>0.27173789860142805</v>
      </c>
      <c r="S67" s="24">
        <f t="shared" ca="1" si="50"/>
        <v>0.54883037003627866</v>
      </c>
      <c r="T67" s="37"/>
      <c r="U67" s="37"/>
      <c r="V67" s="37"/>
      <c r="W67" s="44"/>
      <c r="X67" s="43">
        <v>180.5</v>
      </c>
      <c r="Y67" s="42">
        <v>943.33</v>
      </c>
      <c r="Z67" s="42" t="s">
        <v>53</v>
      </c>
    </row>
    <row r="68" spans="1:26" x14ac:dyDescent="0.3">
      <c r="A68" s="8">
        <v>44293</v>
      </c>
      <c r="B68" s="13">
        <v>211.68</v>
      </c>
      <c r="C68" s="13">
        <v>403.02</v>
      </c>
      <c r="D68" s="13">
        <v>531.73</v>
      </c>
      <c r="E68" s="14">
        <v>51.83</v>
      </c>
      <c r="F68" s="58">
        <f t="shared" ca="1" si="39"/>
        <v>2.2865363425491845</v>
      </c>
      <c r="G68" s="58">
        <f t="shared" ca="1" si="40"/>
        <v>1.5062634700232536</v>
      </c>
      <c r="H68" s="58">
        <f t="shared" ca="1" si="41"/>
        <v>2.2439289875181943</v>
      </c>
      <c r="I68" s="59">
        <f t="shared" ca="1" si="42"/>
        <v>3.0840842570383913</v>
      </c>
      <c r="J68" s="58">
        <f t="shared" ca="1" si="43"/>
        <v>150.28077560080851</v>
      </c>
      <c r="K68" s="58">
        <f t="shared" ca="1" si="44"/>
        <v>167.68761564933376</v>
      </c>
      <c r="L68" s="58">
        <f t="shared" ca="1" si="44"/>
        <v>138.17925477943163</v>
      </c>
      <c r="M68" s="59">
        <f t="shared" ca="1" si="45"/>
        <v>232.30205661064574</v>
      </c>
      <c r="N68" s="55">
        <f t="shared" si="46"/>
        <v>0.25534378769601929</v>
      </c>
      <c r="O68" s="55">
        <f t="shared" si="47"/>
        <v>0.23513418903150524</v>
      </c>
      <c r="P68" s="55">
        <f t="shared" si="48"/>
        <v>0.31840119760479041</v>
      </c>
      <c r="Q68" s="55">
        <f t="shared" si="49"/>
        <v>0.27093570308416098</v>
      </c>
      <c r="R68" s="25">
        <f ca="1">(I68-MAX(F68,H68))/MAX(F68,H68)</f>
        <v>0.34880176608085167</v>
      </c>
      <c r="S68" s="25">
        <f t="shared" ca="1" si="50"/>
        <v>0.54578691573771698</v>
      </c>
      <c r="T68" s="38"/>
      <c r="U68" s="38"/>
      <c r="V68" s="38"/>
      <c r="W68" s="45"/>
      <c r="X68" s="42">
        <v>91.81</v>
      </c>
      <c r="Y68" s="43">
        <v>477.25</v>
      </c>
      <c r="Z68" s="43"/>
    </row>
    <row r="69" spans="1:26" x14ac:dyDescent="0.3">
      <c r="A69" s="7">
        <v>44294</v>
      </c>
      <c r="B69" s="15">
        <v>380.29</v>
      </c>
      <c r="C69" s="15">
        <v>1122.99</v>
      </c>
      <c r="D69" s="15">
        <v>975.67</v>
      </c>
      <c r="E69" s="16">
        <v>90.86</v>
      </c>
      <c r="F69" s="56">
        <f t="shared" ca="1" si="39"/>
        <v>4.1078368561414838</v>
      </c>
      <c r="G69" s="56">
        <f t="shared" ca="1" si="40"/>
        <v>4.1971088635834786</v>
      </c>
      <c r="H69" s="56">
        <f t="shared" ca="1" si="41"/>
        <v>4.1173794881836203</v>
      </c>
      <c r="I69" s="57">
        <f t="shared" ca="1" si="42"/>
        <v>5.4065193053156131</v>
      </c>
      <c r="J69" s="56">
        <f t="shared" ca="1" si="43"/>
        <v>154.38861245695</v>
      </c>
      <c r="K69" s="56">
        <f t="shared" ca="1" si="44"/>
        <v>171.88472451291724</v>
      </c>
      <c r="L69" s="56">
        <f t="shared" ca="1" si="44"/>
        <v>142.29663426761525</v>
      </c>
      <c r="M69" s="57">
        <f t="shared" ca="1" si="45"/>
        <v>237.70857591596135</v>
      </c>
      <c r="N69" s="54">
        <f t="shared" si="46"/>
        <v>0.45873341375150789</v>
      </c>
      <c r="O69" s="54">
        <f t="shared" si="47"/>
        <v>0.65518669778296379</v>
      </c>
      <c r="P69" s="54">
        <f t="shared" si="48"/>
        <v>0.58423353293413172</v>
      </c>
      <c r="Q69" s="54">
        <f t="shared" si="49"/>
        <v>0.47496079456351276</v>
      </c>
      <c r="R69" s="24">
        <f ca="1">(I69-MAX(F69,H69))/MAX(F69,H69)</f>
        <v>0.31309715823660844</v>
      </c>
      <c r="S69" s="26">
        <f t="shared" ca="1" si="50"/>
        <v>0.53967687210249682</v>
      </c>
      <c r="T69" s="37"/>
      <c r="U69" s="37"/>
      <c r="V69" s="37"/>
      <c r="W69" s="44"/>
      <c r="X69" s="43">
        <v>139.94999999999999</v>
      </c>
      <c r="Y69" s="42">
        <v>938.08</v>
      </c>
      <c r="Z69" s="42"/>
    </row>
    <row r="70" spans="1:26" x14ac:dyDescent="0.3">
      <c r="A70" s="8">
        <v>44295</v>
      </c>
      <c r="B70" s="13">
        <v>339.96</v>
      </c>
      <c r="C70" s="13">
        <v>1072</v>
      </c>
      <c r="D70" s="13">
        <v>891.93</v>
      </c>
      <c r="E70" s="14">
        <v>79.45</v>
      </c>
      <c r="F70" s="58">
        <f t="shared" ca="1" si="39"/>
        <v>3.6721981056926523</v>
      </c>
      <c r="G70" s="58">
        <f t="shared" ca="1" si="40"/>
        <v>4.0065367472208022</v>
      </c>
      <c r="H70" s="58">
        <f t="shared" ca="1" si="41"/>
        <v>3.7639922175485734</v>
      </c>
      <c r="I70" s="59">
        <f t="shared" ca="1" si="42"/>
        <v>4.7275804403183521</v>
      </c>
      <c r="J70" s="58">
        <f t="shared" ca="1" si="43"/>
        <v>158.06081056264264</v>
      </c>
      <c r="K70" s="58">
        <f t="shared" ca="1" si="44"/>
        <v>175.89126126013804</v>
      </c>
      <c r="L70" s="58">
        <f t="shared" ca="1" si="44"/>
        <v>146.06062648516382</v>
      </c>
      <c r="M70" s="59">
        <f t="shared" ca="1" si="45"/>
        <v>242.4361563562797</v>
      </c>
      <c r="N70" s="55">
        <f t="shared" si="46"/>
        <v>0.41008443908323278</v>
      </c>
      <c r="O70" s="55">
        <f t="shared" si="47"/>
        <v>0.62543757292882152</v>
      </c>
      <c r="P70" s="55">
        <f t="shared" si="48"/>
        <v>0.53408982035928143</v>
      </c>
      <c r="Q70" s="55">
        <f t="shared" si="49"/>
        <v>0.41531625718766335</v>
      </c>
      <c r="R70" s="25">
        <f ca="1">(I70-MAX(F70,H70))/MAX(F70,H70)</f>
        <v>0.25600165119293156</v>
      </c>
      <c r="S70" s="25">
        <f t="shared" ca="1" si="50"/>
        <v>0.53381572252659948</v>
      </c>
      <c r="T70" s="38"/>
      <c r="U70" s="38"/>
      <c r="V70" s="38"/>
      <c r="W70" s="45"/>
      <c r="X70" s="42">
        <v>142.02000000000001</v>
      </c>
      <c r="Y70" s="43">
        <v>759</v>
      </c>
      <c r="Z70" s="43"/>
    </row>
    <row r="71" spans="1:26" x14ac:dyDescent="0.3">
      <c r="A71" s="7">
        <v>44296</v>
      </c>
      <c r="B71" s="15">
        <v>191.11</v>
      </c>
      <c r="C71" s="51">
        <v>914</v>
      </c>
      <c r="D71" s="51">
        <v>495.46</v>
      </c>
      <c r="E71" s="16">
        <v>41.21</v>
      </c>
      <c r="F71" s="56">
        <f t="shared" ca="1" si="39"/>
        <v>2.0643422166693814</v>
      </c>
      <c r="G71" s="56">
        <f t="shared" ca="1" si="40"/>
        <v>3.4160210699251992</v>
      </c>
      <c r="H71" s="56">
        <f t="shared" ca="1" si="41"/>
        <v>2.0908676511683835</v>
      </c>
      <c r="I71" s="57">
        <f t="shared" ca="1" si="42"/>
        <v>2.4521534291443587</v>
      </c>
      <c r="J71" s="56">
        <f t="shared" ca="1" si="43"/>
        <v>160.12515277931203</v>
      </c>
      <c r="K71" s="56">
        <f t="shared" ca="1" si="44"/>
        <v>179.30728233006323</v>
      </c>
      <c r="L71" s="56">
        <f t="shared" ca="1" si="44"/>
        <v>148.15149413633222</v>
      </c>
      <c r="M71" s="57">
        <f t="shared" ca="1" si="45"/>
        <v>244.88830978542404</v>
      </c>
      <c r="N71" s="54">
        <f t="shared" si="46"/>
        <v>0.2305307599517491</v>
      </c>
      <c r="O71" s="54">
        <f t="shared" si="47"/>
        <v>0.53325554259043173</v>
      </c>
      <c r="P71" s="54">
        <f t="shared" si="48"/>
        <v>0.29668263473053891</v>
      </c>
      <c r="Q71" s="54">
        <f t="shared" si="49"/>
        <v>0.21542080501829586</v>
      </c>
      <c r="R71" s="24">
        <f ca="1">(I71-MAX(F71,H71))/MAX(F71,G71)</f>
        <v>0.10576216322456301</v>
      </c>
      <c r="S71" s="24">
        <f t="shared" ca="1" si="50"/>
        <v>0.52935566670736878</v>
      </c>
      <c r="T71" s="37"/>
      <c r="U71" s="37"/>
      <c r="V71" s="37"/>
      <c r="W71" s="44"/>
      <c r="X71" s="43">
        <v>103.34</v>
      </c>
      <c r="Y71" s="42">
        <v>951.33</v>
      </c>
      <c r="Z71" s="42"/>
    </row>
    <row r="72" spans="1:26" x14ac:dyDescent="0.3">
      <c r="A72" s="8">
        <v>44297</v>
      </c>
      <c r="B72" s="13">
        <v>115.1</v>
      </c>
      <c r="C72" s="13">
        <v>528</v>
      </c>
      <c r="D72" s="13">
        <v>300.5</v>
      </c>
      <c r="E72" s="14">
        <v>22.63</v>
      </c>
      <c r="F72" s="58">
        <f t="shared" ca="1" si="39"/>
        <v>1.2432933344076489</v>
      </c>
      <c r="G72" s="58">
        <f t="shared" ca="1" si="40"/>
        <v>1.973368845646067</v>
      </c>
      <c r="H72" s="58">
        <f t="shared" ca="1" si="41"/>
        <v>1.2681260428210133</v>
      </c>
      <c r="I72" s="59">
        <f t="shared" ca="1" si="42"/>
        <v>1.3465719995519736</v>
      </c>
      <c r="J72" s="58">
        <f t="shared" ca="1" si="43"/>
        <v>161.36844611371967</v>
      </c>
      <c r="K72" s="58">
        <f t="shared" ca="1" si="44"/>
        <v>181.28065117570929</v>
      </c>
      <c r="L72" s="58">
        <f t="shared" ca="1" si="44"/>
        <v>149.41962017915324</v>
      </c>
      <c r="M72" s="59">
        <f t="shared" ca="1" si="45"/>
        <v>246.23488178497601</v>
      </c>
      <c r="N72" s="55">
        <f t="shared" si="46"/>
        <v>0.13884197828709288</v>
      </c>
      <c r="O72" s="55">
        <f t="shared" si="47"/>
        <v>0.30805134189031508</v>
      </c>
      <c r="P72" s="55">
        <f t="shared" si="48"/>
        <v>0.17994011976047905</v>
      </c>
      <c r="Q72" s="55">
        <f t="shared" si="49"/>
        <v>0.11829587036069</v>
      </c>
      <c r="R72" s="25">
        <f ca="1">(I72-MAX(F72,H72))/MAX(F72,H72)</f>
        <v>6.1859747439973051E-2</v>
      </c>
      <c r="S72" s="25">
        <f t="shared" ca="1" si="50"/>
        <v>0.52591716481826445</v>
      </c>
      <c r="T72" s="38"/>
      <c r="U72" s="38"/>
      <c r="V72" s="38"/>
      <c r="W72" s="45"/>
      <c r="X72" s="42">
        <v>45.7</v>
      </c>
      <c r="Y72" s="43">
        <v>326.25</v>
      </c>
      <c r="Z72" s="43"/>
    </row>
  </sheetData>
  <mergeCells count="5">
    <mergeCell ref="T1:V1"/>
    <mergeCell ref="N1:Q1"/>
    <mergeCell ref="J1:M1"/>
    <mergeCell ref="F1:I1"/>
    <mergeCell ref="B1:E1"/>
  </mergeCells>
  <conditionalFormatting sqref="I3:I7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:R7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:X21 X23:X25 X27:X29 X31:X33 X35:X37 X39:X41 X43:X45 X47:X49 X51:X53 X55:X57 X66:X68 X70:X72 X59:X64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0 X65 X34 X38 X42 X46 X50 X54 X58 X6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3:Y25 Y27:Y29 Y31:Y33 Y35:Y37 Y39:Y41 Y43:Y45 Y47:Y49 Y51:Y53 Y55:Y57 Y59:Y61 Y63:Y65 Y67:Y69 Y71:Y72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30 Y34 Y38 Y42 Y46 Y50 Y54 Y58 Y62 Y66 Y7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276F2-0AAA-4935-93B7-59F18C1ABD34}">
  <dimension ref="A1:T20"/>
  <sheetViews>
    <sheetView tabSelected="1" topLeftCell="G1" zoomScale="85" zoomScaleNormal="85" workbookViewId="0">
      <selection activeCell="E18" sqref="E18"/>
    </sheetView>
  </sheetViews>
  <sheetFormatPr baseColWidth="10" defaultColWidth="11.44140625" defaultRowHeight="14.4" x14ac:dyDescent="0.3"/>
  <cols>
    <col min="1" max="1" width="14" style="1" bestFit="1" customWidth="1"/>
    <col min="2" max="2" width="22.88671875" style="1" bestFit="1" customWidth="1"/>
    <col min="3" max="3" width="22.44140625" style="1" bestFit="1" customWidth="1"/>
    <col min="4" max="4" width="22.44140625" style="1" customWidth="1"/>
    <col min="5" max="5" width="29.33203125" style="1" bestFit="1" customWidth="1"/>
    <col min="6" max="6" width="28.88671875" style="1" bestFit="1" customWidth="1"/>
    <col min="7" max="7" width="28.88671875" style="1" customWidth="1"/>
    <col min="8" max="8" width="16.33203125" style="1" bestFit="1" customWidth="1"/>
    <col min="9" max="9" width="22.88671875" style="1" bestFit="1" customWidth="1"/>
    <col min="10" max="10" width="16.33203125" style="1" bestFit="1" customWidth="1"/>
    <col min="11" max="11" width="11.6640625" style="1" customWidth="1"/>
    <col min="12" max="12" width="16.33203125" style="1" bestFit="1" customWidth="1"/>
    <col min="13" max="13" width="11.6640625" style="1" bestFit="1" customWidth="1"/>
    <col min="14" max="14" width="36.44140625" style="1" bestFit="1" customWidth="1"/>
    <col min="15" max="15" width="37.88671875" style="1" bestFit="1" customWidth="1"/>
    <col min="16" max="16" width="39.44140625" style="1" bestFit="1" customWidth="1"/>
    <col min="17" max="16384" width="11.44140625" style="1"/>
  </cols>
  <sheetData>
    <row r="1" spans="1:20" ht="15.75" customHeight="1" thickBot="1" x14ac:dyDescent="0.35">
      <c r="A1" s="2"/>
      <c r="B1" s="101" t="s">
        <v>29</v>
      </c>
      <c r="C1" s="101"/>
      <c r="D1" s="101"/>
      <c r="E1" s="101"/>
      <c r="F1" s="101"/>
      <c r="G1" s="103"/>
      <c r="H1" s="102" t="s">
        <v>28</v>
      </c>
      <c r="I1" s="103"/>
      <c r="J1" s="102" t="s">
        <v>30</v>
      </c>
      <c r="K1" s="103"/>
      <c r="L1" s="102" t="s">
        <v>44</v>
      </c>
      <c r="M1" s="103"/>
      <c r="N1" s="23" t="s">
        <v>91</v>
      </c>
      <c r="O1" s="23" t="s">
        <v>47</v>
      </c>
      <c r="P1" s="23" t="s">
        <v>92</v>
      </c>
    </row>
    <row r="2" spans="1:20" x14ac:dyDescent="0.3">
      <c r="A2" s="64" t="s">
        <v>7</v>
      </c>
      <c r="B2" s="65" t="s">
        <v>94</v>
      </c>
      <c r="C2" s="65" t="s">
        <v>93</v>
      </c>
      <c r="D2" s="65" t="s">
        <v>110</v>
      </c>
      <c r="E2" s="65" t="s">
        <v>96</v>
      </c>
      <c r="F2" s="65" t="s">
        <v>95</v>
      </c>
      <c r="G2" s="65" t="s">
        <v>111</v>
      </c>
      <c r="H2" s="65" t="s">
        <v>8</v>
      </c>
      <c r="I2" s="66" t="str">
        <f>Variables!C1</f>
        <v>Dinsheim BELIGHT</v>
      </c>
      <c r="J2" s="65" t="s">
        <v>8</v>
      </c>
      <c r="K2" s="66" t="s">
        <v>2</v>
      </c>
      <c r="L2" s="65" t="s">
        <v>8</v>
      </c>
      <c r="M2" s="66" t="s">
        <v>2</v>
      </c>
      <c r="N2" s="67" t="s">
        <v>32</v>
      </c>
      <c r="O2" s="67" t="s">
        <v>32</v>
      </c>
      <c r="P2" s="67" t="s">
        <v>32</v>
      </c>
    </row>
    <row r="3" spans="1:20" x14ac:dyDescent="0.3">
      <c r="A3" s="69" t="s">
        <v>97</v>
      </c>
      <c r="B3" s="70">
        <v>2068.7689999999857</v>
      </c>
      <c r="C3" s="70">
        <v>2716.6140000000596</v>
      </c>
      <c r="D3" s="70"/>
      <c r="E3" s="70"/>
      <c r="F3" s="70">
        <v>894.23</v>
      </c>
      <c r="G3" s="70"/>
      <c r="H3" s="99">
        <f t="shared" ref="H3:H14" ca="1" si="0">AVERAGE(B3:D3)/PRDEPI</f>
        <v>25.845502982136118</v>
      </c>
      <c r="I3" s="99">
        <f t="shared" ref="I3:I14" ca="1" si="1">AVERAGE(E3:G3)/PRBE</f>
        <v>53.210122808632853</v>
      </c>
      <c r="J3" s="71">
        <f ca="1">H3</f>
        <v>25.845502982136118</v>
      </c>
      <c r="K3" s="71">
        <f ca="1">I3</f>
        <v>53.210122808632853</v>
      </c>
      <c r="L3" s="71">
        <f t="shared" ref="L3:L14" ca="1" si="2">H3*PRDEPI/SE</f>
        <v>2.8862382388420058</v>
      </c>
      <c r="M3" s="71">
        <f t="shared" ref="M3:M14" ca="1" si="3">I3*PRBE/SB</f>
        <v>4.6744903293256659</v>
      </c>
      <c r="N3" s="72">
        <f t="shared" ref="N3:N14" ca="1" si="4">(I3-H3)/H3</f>
        <v>1.0587768342295603</v>
      </c>
      <c r="O3" s="72">
        <f ca="1">(K3-J3)/J3</f>
        <v>1.0587768342295603</v>
      </c>
      <c r="P3" s="72">
        <f ca="1">(I3-H3)/H3</f>
        <v>1.0587768342295603</v>
      </c>
      <c r="Q3" s="1">
        <f ca="1">(M3-L3)/L3</f>
        <v>0.61957882284905519</v>
      </c>
      <c r="S3" s="89">
        <v>52.403068509642502</v>
      </c>
      <c r="T3" s="98">
        <f ca="1">ABS((I3-S3)/S3)</f>
        <v>1.5400897732579312E-2</v>
      </c>
    </row>
    <row r="4" spans="1:20" x14ac:dyDescent="0.3">
      <c r="A4" s="68" t="s">
        <v>98</v>
      </c>
      <c r="B4" s="15">
        <v>3897.9050000000279</v>
      </c>
      <c r="C4" s="15">
        <v>4593.7229999999981</v>
      </c>
      <c r="D4" s="15"/>
      <c r="E4" s="15">
        <v>1181.375</v>
      </c>
      <c r="F4" s="15">
        <v>1412.85</v>
      </c>
      <c r="G4" s="15"/>
      <c r="H4" s="100">
        <f t="shared" ca="1" si="0"/>
        <v>45.862660689267535</v>
      </c>
      <c r="I4" s="100">
        <f t="shared" ca="1" si="1"/>
        <v>77.18318041400174</v>
      </c>
      <c r="J4" s="61">
        <f t="shared" ref="J4:K7" ca="1" si="5">H4+J3</f>
        <v>71.708163671403653</v>
      </c>
      <c r="K4" s="61">
        <f t="shared" ca="1" si="5"/>
        <v>130.39330322263459</v>
      </c>
      <c r="L4" s="61">
        <f t="shared" ca="1" si="2"/>
        <v>5.1216091676719095</v>
      </c>
      <c r="M4" s="61">
        <f t="shared" ca="1" si="3"/>
        <v>6.7805148980658645</v>
      </c>
      <c r="N4" s="24">
        <f t="shared" ca="1" si="4"/>
        <v>0.68291981437665727</v>
      </c>
      <c r="O4" s="24">
        <f ca="1">(K4-J4)/J4</f>
        <v>0.81838854248381565</v>
      </c>
      <c r="P4" s="24">
        <f t="shared" ref="P4:P14" ca="1" si="6">(I4-H4)/H4</f>
        <v>0.68291981437665727</v>
      </c>
      <c r="Q4" s="1">
        <f t="shared" ref="Q4:Q14" ca="1" si="7">(M4-L4)/L4</f>
        <v>0.32390322574106745</v>
      </c>
      <c r="S4" s="89">
        <v>71.442672981314686</v>
      </c>
      <c r="T4" s="98">
        <f t="shared" ref="T4:T14" ca="1" si="8">ABS((I4-S4)/S4)</f>
        <v>8.0351240975942234E-2</v>
      </c>
    </row>
    <row r="5" spans="1:20" x14ac:dyDescent="0.3">
      <c r="A5" s="69" t="s">
        <v>99</v>
      </c>
      <c r="B5" s="13">
        <v>8217.888999999981</v>
      </c>
      <c r="C5" s="13">
        <v>7639.9019999999728</v>
      </c>
      <c r="D5" s="13"/>
      <c r="E5" s="13">
        <v>2135.7939999999999</v>
      </c>
      <c r="F5" s="13">
        <v>2529.3939999999998</v>
      </c>
      <c r="G5" s="13"/>
      <c r="H5" s="99">
        <f t="shared" ca="1" si="0"/>
        <v>85.646767370675704</v>
      </c>
      <c r="I5" s="99">
        <f t="shared" ca="1" si="1"/>
        <v>138.79831050476963</v>
      </c>
      <c r="J5" s="71">
        <f t="shared" ca="1" si="5"/>
        <v>157.35493104207936</v>
      </c>
      <c r="K5" s="71">
        <f t="shared" ca="1" si="5"/>
        <v>269.19161372740422</v>
      </c>
      <c r="L5" s="71">
        <f t="shared" ca="1" si="2"/>
        <v>9.564409529553652</v>
      </c>
      <c r="M5" s="71">
        <f t="shared" ca="1" si="3"/>
        <v>12.193382122320962</v>
      </c>
      <c r="N5" s="72">
        <f t="shared" ca="1" si="4"/>
        <v>0.6205901841461946</v>
      </c>
      <c r="O5" s="72">
        <f ca="1">(K5-J5)/J5</f>
        <v>0.71072880871726762</v>
      </c>
      <c r="P5" s="72">
        <f t="shared" ca="1" si="6"/>
        <v>0.6205901841461946</v>
      </c>
      <c r="Q5" s="1">
        <f t="shared" ca="1" si="7"/>
        <v>0.27487034977369879</v>
      </c>
      <c r="S5" s="89">
        <v>106.53076372559941</v>
      </c>
      <c r="T5" s="98">
        <f t="shared" ca="1" si="8"/>
        <v>0.30289416550400927</v>
      </c>
    </row>
    <row r="6" spans="1:20" x14ac:dyDescent="0.3">
      <c r="A6" s="68" t="s">
        <v>100</v>
      </c>
      <c r="B6" s="15">
        <v>11042.047000000006</v>
      </c>
      <c r="C6" s="15">
        <v>9324.9119999999821</v>
      </c>
      <c r="D6" s="15"/>
      <c r="E6" s="15">
        <v>2561.4650000000001</v>
      </c>
      <c r="F6" s="15">
        <v>2324.712</v>
      </c>
      <c r="G6" s="15"/>
      <c r="H6" s="100">
        <f t="shared" ca="1" si="0"/>
        <v>110.00045337469096</v>
      </c>
      <c r="I6" s="100">
        <f t="shared" ca="1" si="1"/>
        <v>145.37315804363374</v>
      </c>
      <c r="J6" s="61">
        <f t="shared" ref="J6:J12" ca="1" si="9">H6+J5</f>
        <v>267.35538441677033</v>
      </c>
      <c r="K6" s="61">
        <f t="shared" ca="1" si="5"/>
        <v>414.56477177103795</v>
      </c>
      <c r="L6" s="61">
        <f t="shared" ca="1" si="2"/>
        <v>12.284052472858859</v>
      </c>
      <c r="M6" s="61">
        <f t="shared" ca="1" si="3"/>
        <v>12.770980135912176</v>
      </c>
      <c r="N6" s="24">
        <f t="shared" ca="1" si="4"/>
        <v>0.32156871707113682</v>
      </c>
      <c r="O6" s="24">
        <f ca="1">(K6-J6)/J6</f>
        <v>0.55061313867084272</v>
      </c>
      <c r="P6" s="24">
        <f t="shared" ca="1" si="6"/>
        <v>0.32156871707113682</v>
      </c>
      <c r="Q6" s="1">
        <f t="shared" ca="1" si="7"/>
        <v>3.9639008717128547E-2</v>
      </c>
      <c r="S6" s="89">
        <v>132.5287436873945</v>
      </c>
      <c r="T6" s="98">
        <f t="shared" ca="1" si="8"/>
        <v>9.6917951524058257E-2</v>
      </c>
    </row>
    <row r="7" spans="1:20" x14ac:dyDescent="0.3">
      <c r="A7" s="69" t="s">
        <v>101</v>
      </c>
      <c r="B7" s="13">
        <v>11004.638999999996</v>
      </c>
      <c r="C7" s="13">
        <v>12663.242999999929</v>
      </c>
      <c r="D7" s="13"/>
      <c r="E7" s="13">
        <v>2263.056</v>
      </c>
      <c r="F7" s="13">
        <v>2993.2570000000001</v>
      </c>
      <c r="G7" s="13"/>
      <c r="H7" s="99">
        <f t="shared" ca="1" si="0"/>
        <v>127.82849665571972</v>
      </c>
      <c r="I7" s="99">
        <f t="shared" ca="1" si="1"/>
        <v>156.3854155254316</v>
      </c>
      <c r="J7" s="71">
        <f t="shared" ca="1" si="9"/>
        <v>395.18388107249007</v>
      </c>
      <c r="K7" s="71">
        <f t="shared" ca="1" si="5"/>
        <v>570.95018729646949</v>
      </c>
      <c r="L7" s="71">
        <f t="shared" ca="1" si="2"/>
        <v>14.274958986730956</v>
      </c>
      <c r="M7" s="71">
        <f t="shared" ca="1" si="3"/>
        <v>13.73840303188709</v>
      </c>
      <c r="N7" s="72">
        <f t="shared" ca="1" si="4"/>
        <v>0.22340025594311871</v>
      </c>
      <c r="O7" s="72">
        <f t="shared" ref="O7:O12" ca="1" si="10">(K7-J7)/J7</f>
        <v>0.4447709399152795</v>
      </c>
      <c r="P7" s="72">
        <f t="shared" ca="1" si="6"/>
        <v>0.22340025594311871</v>
      </c>
      <c r="Q7" s="1">
        <f t="shared" ca="1" si="7"/>
        <v>-3.7587215160660881E-2</v>
      </c>
      <c r="S7" s="89">
        <v>141.4868801622514</v>
      </c>
      <c r="T7" s="98">
        <f t="shared" ca="1" si="8"/>
        <v>0.10529976592949938</v>
      </c>
    </row>
    <row r="8" spans="1:20" x14ac:dyDescent="0.3">
      <c r="A8" s="68" t="s">
        <v>102</v>
      </c>
      <c r="B8" s="15">
        <v>12136.811999999991</v>
      </c>
      <c r="C8" s="15">
        <v>11858.423999999824</v>
      </c>
      <c r="D8" s="15"/>
      <c r="E8" s="15">
        <v>2544.4549999999999</v>
      </c>
      <c r="F8" s="15">
        <v>2691.723</v>
      </c>
      <c r="G8" s="15"/>
      <c r="H8" s="100">
        <f t="shared" ca="1" si="0"/>
        <v>129.59651162614347</v>
      </c>
      <c r="I8" s="100">
        <f t="shared" ca="1" si="1"/>
        <v>155.78636057158758</v>
      </c>
      <c r="J8" s="61">
        <f t="shared" ca="1" si="9"/>
        <v>524.78039269863348</v>
      </c>
      <c r="K8" s="61">
        <f t="shared" ref="K8:K14" ca="1" si="11">I8+K7</f>
        <v>726.73654786805707</v>
      </c>
      <c r="L8" s="61">
        <f t="shared" ca="1" si="2"/>
        <v>14.472398069963701</v>
      </c>
      <c r="M8" s="61">
        <f t="shared" ca="1" si="3"/>
        <v>13.685776267642446</v>
      </c>
      <c r="N8" s="24">
        <f t="shared" ca="1" si="4"/>
        <v>0.20208760727291708</v>
      </c>
      <c r="O8" s="24">
        <f t="shared" ca="1" si="10"/>
        <v>0.38483936896133486</v>
      </c>
      <c r="P8" s="24">
        <f t="shared" ca="1" si="6"/>
        <v>0.20208760727291708</v>
      </c>
      <c r="Q8" s="1">
        <f t="shared" ca="1" si="7"/>
        <v>-5.4353245296218419E-2</v>
      </c>
      <c r="S8" s="89">
        <v>151.35608923243606</v>
      </c>
      <c r="T8" s="98">
        <f t="shared" ca="1" si="8"/>
        <v>2.9270519353522623E-2</v>
      </c>
    </row>
    <row r="9" spans="1:20" x14ac:dyDescent="0.3">
      <c r="A9" s="69" t="s">
        <v>103</v>
      </c>
      <c r="B9" s="13">
        <v>10243.891000000018</v>
      </c>
      <c r="C9" s="13">
        <v>13383.971000000049</v>
      </c>
      <c r="D9" s="13"/>
      <c r="E9" s="13">
        <v>2500.9589999999998</v>
      </c>
      <c r="F9" s="13">
        <v>3104.43</v>
      </c>
      <c r="G9" s="13"/>
      <c r="H9" s="99">
        <f t="shared" ca="1" si="0"/>
        <v>127.61235156778393</v>
      </c>
      <c r="I9" s="99">
        <f t="shared" ca="1" si="1"/>
        <v>166.77109752533445</v>
      </c>
      <c r="J9" s="71">
        <f t="shared" ca="1" si="9"/>
        <v>652.39274426641737</v>
      </c>
      <c r="K9" s="71">
        <f t="shared" ca="1" si="11"/>
        <v>893.5076453933915</v>
      </c>
      <c r="L9" s="71">
        <f t="shared" ca="1" si="2"/>
        <v>14.250821471652634</v>
      </c>
      <c r="M9" s="71">
        <f t="shared" ca="1" si="3"/>
        <v>14.650781495033975</v>
      </c>
      <c r="N9" s="72">
        <f t="shared" ca="1" si="4"/>
        <v>0.30685702031554951</v>
      </c>
      <c r="O9" s="72">
        <f t="shared" ca="1" si="10"/>
        <v>0.36958550389473699</v>
      </c>
      <c r="P9" s="72">
        <f t="shared" ca="1" si="6"/>
        <v>0.30685702031554951</v>
      </c>
      <c r="Q9" s="1">
        <f t="shared" ca="1" si="7"/>
        <v>2.8065752151686944E-2</v>
      </c>
      <c r="S9" s="89">
        <v>148.27054498900313</v>
      </c>
      <c r="T9" s="98">
        <f t="shared" ca="1" si="8"/>
        <v>0.1247756426450275</v>
      </c>
    </row>
    <row r="10" spans="1:20" x14ac:dyDescent="0.3">
      <c r="A10" s="68" t="s">
        <v>104</v>
      </c>
      <c r="B10" s="15">
        <v>9701.6320000000123</v>
      </c>
      <c r="C10" s="15">
        <v>11576.01299999989</v>
      </c>
      <c r="D10" s="15"/>
      <c r="E10" s="15">
        <v>2127.65</v>
      </c>
      <c r="F10" s="15">
        <v>2928.491</v>
      </c>
      <c r="G10" s="15"/>
      <c r="H10" s="100">
        <f t="shared" ca="1" si="0"/>
        <v>114.91900173932284</v>
      </c>
      <c r="I10" s="100">
        <f t="shared" ca="1" si="1"/>
        <v>150.42991375136356</v>
      </c>
      <c r="J10" s="61">
        <f t="shared" ca="1" si="9"/>
        <v>767.31174600574025</v>
      </c>
      <c r="K10" s="61">
        <f t="shared" ca="1" si="11"/>
        <v>1043.9375591447551</v>
      </c>
      <c r="L10" s="61">
        <f t="shared" ca="1" si="2"/>
        <v>12.833320265379918</v>
      </c>
      <c r="M10" s="61">
        <f t="shared" ca="1" si="3"/>
        <v>13.215214323052795</v>
      </c>
      <c r="N10" s="24">
        <f t="shared" ca="1" si="4"/>
        <v>0.3090081838040335</v>
      </c>
      <c r="O10" s="24">
        <f t="shared" ca="1" si="10"/>
        <v>0.36051293959592984</v>
      </c>
      <c r="P10" s="24">
        <f t="shared" ca="1" si="6"/>
        <v>0.3090081838040335</v>
      </c>
      <c r="Q10" s="1">
        <f t="shared" ca="1" si="7"/>
        <v>2.9758008822011697E-2</v>
      </c>
      <c r="S10" s="89">
        <v>139.87183485358614</v>
      </c>
      <c r="T10" s="98">
        <f t="shared" ca="1" si="8"/>
        <v>7.5483952211174737E-2</v>
      </c>
    </row>
    <row r="11" spans="1:20" x14ac:dyDescent="0.3">
      <c r="A11" s="69" t="s">
        <v>105</v>
      </c>
      <c r="B11" s="13">
        <v>9332.1459999999788</v>
      </c>
      <c r="C11" s="13">
        <v>8158.774000000034</v>
      </c>
      <c r="D11" s="13"/>
      <c r="E11" s="13">
        <v>2460.7939999999999</v>
      </c>
      <c r="F11" s="13">
        <v>2022.395</v>
      </c>
      <c r="G11" s="13"/>
      <c r="H11" s="99">
        <f t="shared" ca="1" si="0"/>
        <v>94.46717744855539</v>
      </c>
      <c r="I11" s="99">
        <f t="shared" ca="1" si="1"/>
        <v>133.38349041315541</v>
      </c>
      <c r="J11" s="71">
        <f t="shared" ca="1" si="9"/>
        <v>861.77892345429564</v>
      </c>
      <c r="K11" s="71">
        <f t="shared" ca="1" si="11"/>
        <v>1177.3210495579106</v>
      </c>
      <c r="L11" s="71">
        <f t="shared" ca="1" si="2"/>
        <v>10.549408926417378</v>
      </c>
      <c r="M11" s="71">
        <f t="shared" ca="1" si="3"/>
        <v>11.717692106638788</v>
      </c>
      <c r="N11" s="72">
        <f t="shared" ca="1" si="4"/>
        <v>0.41195591967160167</v>
      </c>
      <c r="O11" s="72">
        <f t="shared" ca="1" si="10"/>
        <v>0.36615205769806652</v>
      </c>
      <c r="P11" s="72">
        <f t="shared" ca="1" si="6"/>
        <v>0.41195591967160167</v>
      </c>
      <c r="Q11" s="1">
        <f t="shared" ca="1" si="7"/>
        <v>0.11074394673391087</v>
      </c>
      <c r="S11" s="89">
        <v>115.45117431140197</v>
      </c>
      <c r="T11" s="98">
        <f t="shared" ca="1" si="8"/>
        <v>0.1553238086031529</v>
      </c>
    </row>
    <row r="12" spans="1:20" x14ac:dyDescent="0.3">
      <c r="A12" s="68" t="s">
        <v>106</v>
      </c>
      <c r="B12" s="15">
        <v>6134.0720000000438</v>
      </c>
      <c r="C12" s="15">
        <v>5586.8509999999078</v>
      </c>
      <c r="D12" s="15"/>
      <c r="E12" s="15">
        <v>1769.3219999999999</v>
      </c>
      <c r="F12" s="15">
        <v>1629.298</v>
      </c>
      <c r="G12" s="15"/>
      <c r="H12" s="100">
        <f t="shared" ca="1" si="0"/>
        <v>63.303846390118345</v>
      </c>
      <c r="I12" s="100">
        <f t="shared" ca="1" si="1"/>
        <v>101.11547788593302</v>
      </c>
      <c r="J12" s="61">
        <f t="shared" ca="1" si="9"/>
        <v>925.08276984441397</v>
      </c>
      <c r="K12" s="61">
        <f t="shared" ca="1" si="11"/>
        <v>1278.4365274438435</v>
      </c>
      <c r="L12" s="61">
        <f t="shared" ca="1" si="2"/>
        <v>7.0693142340168587</v>
      </c>
      <c r="M12" s="61">
        <f t="shared" ca="1" si="3"/>
        <v>8.8829587036068993</v>
      </c>
      <c r="N12" s="24">
        <f t="shared" ca="1" si="4"/>
        <v>0.59730385516853879</v>
      </c>
      <c r="O12" s="24">
        <f t="shared" ca="1" si="10"/>
        <v>0.38196988325580716</v>
      </c>
      <c r="P12" s="24">
        <f t="shared" ca="1" si="6"/>
        <v>0.59730385516853879</v>
      </c>
      <c r="Q12" s="1">
        <f t="shared" ca="1" si="7"/>
        <v>0.25655168373517168</v>
      </c>
      <c r="S12" s="89">
        <v>85.940293196791103</v>
      </c>
      <c r="T12" s="98">
        <f t="shared" ca="1" si="8"/>
        <v>0.17657822803085965</v>
      </c>
    </row>
    <row r="13" spans="1:20" x14ac:dyDescent="0.3">
      <c r="A13" s="69" t="s">
        <v>107</v>
      </c>
      <c r="B13" s="13">
        <v>2373.8929999999527</v>
      </c>
      <c r="C13" s="13">
        <v>2926.2290000000503</v>
      </c>
      <c r="D13" s="13"/>
      <c r="E13" s="13">
        <v>704.34100000000001</v>
      </c>
      <c r="F13" s="13">
        <v>910.32399999999996</v>
      </c>
      <c r="G13" s="13"/>
      <c r="H13" s="99">
        <f t="shared" ca="1" si="0"/>
        <v>28.625570608806864</v>
      </c>
      <c r="I13" s="99">
        <f t="shared" ca="1" si="1"/>
        <v>48.039387486888806</v>
      </c>
      <c r="J13" s="71">
        <f ca="1">H13+J12</f>
        <v>953.70834045322079</v>
      </c>
      <c r="K13" s="71">
        <f t="shared" ca="1" si="11"/>
        <v>1326.4759149307322</v>
      </c>
      <c r="L13" s="71">
        <f t="shared" ca="1" si="2"/>
        <v>3.1966960193003637</v>
      </c>
      <c r="M13" s="71">
        <f t="shared" ca="1" si="3"/>
        <v>4.2202430737062206</v>
      </c>
      <c r="N13" s="72">
        <f t="shared" ca="1" si="4"/>
        <v>0.67819842417775733</v>
      </c>
      <c r="O13" s="72">
        <f ca="1">(K13-J13)/J13</f>
        <v>0.39086118749927778</v>
      </c>
      <c r="P13" s="72">
        <f t="shared" ca="1" si="6"/>
        <v>0.67819842417775733</v>
      </c>
      <c r="Q13" s="1">
        <f t="shared" ca="1" si="7"/>
        <v>0.32018904776246843</v>
      </c>
      <c r="S13" s="89">
        <v>48.653722727632946</v>
      </c>
      <c r="T13" s="98">
        <f t="shared" ca="1" si="8"/>
        <v>1.2626685201114679E-2</v>
      </c>
    </row>
    <row r="14" spans="1:20" x14ac:dyDescent="0.3">
      <c r="A14" s="96" t="s">
        <v>108</v>
      </c>
      <c r="B14" s="95">
        <v>1638.9719999999797</v>
      </c>
      <c r="C14" s="95">
        <v>1310.6440000000875</v>
      </c>
      <c r="D14" s="95"/>
      <c r="E14" s="95">
        <v>508.65100000000001</v>
      </c>
      <c r="F14" s="95">
        <v>458.45100000000002</v>
      </c>
      <c r="G14" s="95"/>
      <c r="H14" s="100">
        <f t="shared" ca="1" si="0"/>
        <v>15.93065991252057</v>
      </c>
      <c r="I14" s="100">
        <f t="shared" ca="1" si="1"/>
        <v>28.773143480130646</v>
      </c>
      <c r="J14" s="61">
        <f ca="1">H14+J13</f>
        <v>969.63900036574137</v>
      </c>
      <c r="K14" s="61">
        <f t="shared" ca="1" si="11"/>
        <v>1355.2490584108627</v>
      </c>
      <c r="L14" s="61">
        <f t="shared" ca="1" si="2"/>
        <v>1.7790205066345399</v>
      </c>
      <c r="M14" s="61">
        <f t="shared" ca="1" si="3"/>
        <v>2.5277104025091481</v>
      </c>
      <c r="N14" s="24">
        <f t="shared" ca="1" si="4"/>
        <v>0.80614887507055699</v>
      </c>
      <c r="O14" s="24">
        <f ca="1">(K14-J14)/J14</f>
        <v>0.39768414626440546</v>
      </c>
      <c r="P14" s="24">
        <f t="shared" ca="1" si="6"/>
        <v>0.80614887507055699</v>
      </c>
      <c r="Q14" s="1">
        <f t="shared" ca="1" si="7"/>
        <v>0.4208438818341344</v>
      </c>
      <c r="S14" s="89">
        <v>35.3815511822852</v>
      </c>
      <c r="T14" s="98">
        <f t="shared" ca="1" si="8"/>
        <v>0.18677552230845226</v>
      </c>
    </row>
    <row r="16" spans="1:20" x14ac:dyDescent="0.3">
      <c r="H16" s="1" t="s">
        <v>109</v>
      </c>
      <c r="I16" s="1" t="s">
        <v>109</v>
      </c>
    </row>
    <row r="17" spans="8:12" x14ac:dyDescent="0.3">
      <c r="H17" s="83">
        <f ca="1">(MAX(H3:H14)-MIN(H3:H14))/MIN(H3:H14)</f>
        <v>7.1350372387454062</v>
      </c>
      <c r="I17" s="83">
        <f ca="1">(MAX(I3:I14)-MIN(I3:I14))/MIN(I3:I14)</f>
        <v>4.796068046596945</v>
      </c>
    </row>
    <row r="20" spans="8:12" x14ac:dyDescent="0.3">
      <c r="K20" s="1">
        <f>L20*0.75</f>
        <v>1.1160000000000001</v>
      </c>
      <c r="L20" s="1">
        <v>1.488</v>
      </c>
    </row>
  </sheetData>
  <mergeCells count="4">
    <mergeCell ref="H1:I1"/>
    <mergeCell ref="J1:K1"/>
    <mergeCell ref="L1:M1"/>
    <mergeCell ref="B1:G1"/>
  </mergeCells>
  <phoneticPr fontId="5" type="noConversion"/>
  <conditionalFormatting sqref="N3:N14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:T14">
    <cfRule type="cellIs" dxfId="1" priority="9" operator="lessThan">
      <formula>0.15</formula>
    </cfRule>
    <cfRule type="cellIs" dxfId="0" priority="10" operator="lessThan">
      <formula>0.1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A501F-DA70-48F6-90A0-FFAD51776744}">
  <sheetPr codeName="Feuil3"/>
  <dimension ref="B20:L52"/>
  <sheetViews>
    <sheetView showGridLines="0" workbookViewId="0">
      <selection activeCell="J34" sqref="J34"/>
    </sheetView>
  </sheetViews>
  <sheetFormatPr baseColWidth="10" defaultRowHeight="14.4" x14ac:dyDescent="0.3"/>
  <sheetData>
    <row r="20" spans="2:12" x14ac:dyDescent="0.3">
      <c r="B20" t="s">
        <v>48</v>
      </c>
    </row>
    <row r="31" spans="2:12" x14ac:dyDescent="0.3">
      <c r="L31" t="s">
        <v>43</v>
      </c>
    </row>
    <row r="52" spans="2:2" x14ac:dyDescent="0.3">
      <c r="B52" t="s">
        <v>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50CD-E15F-485B-96C3-405944E08F25}">
  <dimension ref="A1:X55"/>
  <sheetViews>
    <sheetView topLeftCell="A19" zoomScale="70" zoomScaleNormal="70" workbookViewId="0">
      <selection activeCell="O15" sqref="O15"/>
    </sheetView>
  </sheetViews>
  <sheetFormatPr baseColWidth="10" defaultColWidth="9.109375" defaultRowHeight="14.4" x14ac:dyDescent="0.3"/>
  <sheetData>
    <row r="1" spans="1:24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 t="s">
        <v>56</v>
      </c>
      <c r="N1" s="1" t="s">
        <v>57</v>
      </c>
      <c r="O1" s="1" t="s">
        <v>58</v>
      </c>
      <c r="P1" s="1" t="s">
        <v>59</v>
      </c>
      <c r="Q1" s="1" t="s">
        <v>60</v>
      </c>
      <c r="R1" s="1" t="s">
        <v>61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</row>
    <row r="2" spans="1:24" ht="58.2" thickBot="1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77" t="s">
        <v>56</v>
      </c>
      <c r="N2" s="77" t="s">
        <v>57</v>
      </c>
      <c r="O2" s="78" t="s">
        <v>58</v>
      </c>
      <c r="P2" s="78" t="s">
        <v>59</v>
      </c>
      <c r="Q2" s="78" t="s">
        <v>60</v>
      </c>
      <c r="R2" s="78" t="s">
        <v>61</v>
      </c>
      <c r="S2" s="77" t="s">
        <v>56</v>
      </c>
      <c r="T2" s="77" t="s">
        <v>57</v>
      </c>
      <c r="U2" s="78" t="s">
        <v>58</v>
      </c>
      <c r="V2" s="78" t="s">
        <v>59</v>
      </c>
      <c r="W2" s="78" t="s">
        <v>60</v>
      </c>
      <c r="X2" s="78" t="s">
        <v>61</v>
      </c>
    </row>
    <row r="3" spans="1:24" ht="57.6" x14ac:dyDescent="0.3">
      <c r="A3" s="79" t="s">
        <v>62</v>
      </c>
      <c r="B3" s="79" t="s">
        <v>63</v>
      </c>
      <c r="C3" s="79" t="s">
        <v>64</v>
      </c>
      <c r="D3" s="79" t="s">
        <v>65</v>
      </c>
      <c r="E3" s="79" t="s">
        <v>66</v>
      </c>
      <c r="F3" s="79" t="s">
        <v>67</v>
      </c>
      <c r="G3" s="79" t="s">
        <v>68</v>
      </c>
      <c r="H3" s="79" t="s">
        <v>69</v>
      </c>
      <c r="I3" s="79" t="s">
        <v>70</v>
      </c>
      <c r="J3" s="79" t="s">
        <v>71</v>
      </c>
      <c r="K3" s="79" t="s">
        <v>72</v>
      </c>
      <c r="L3" s="79" t="s">
        <v>73</v>
      </c>
      <c r="M3" s="79" t="s">
        <v>74</v>
      </c>
      <c r="N3" s="79" t="s">
        <v>74</v>
      </c>
      <c r="O3" s="79" t="s">
        <v>74</v>
      </c>
      <c r="P3" s="79" t="s">
        <v>74</v>
      </c>
      <c r="Q3" s="79" t="s">
        <v>74</v>
      </c>
      <c r="R3" s="79" t="s">
        <v>74</v>
      </c>
      <c r="S3" s="79" t="s">
        <v>75</v>
      </c>
      <c r="T3" s="79" t="s">
        <v>75</v>
      </c>
      <c r="U3" s="79" t="s">
        <v>75</v>
      </c>
      <c r="V3" s="79" t="s">
        <v>75</v>
      </c>
      <c r="W3" s="79" t="s">
        <v>75</v>
      </c>
      <c r="X3" s="79" t="s">
        <v>75</v>
      </c>
    </row>
    <row r="4" spans="1:24" x14ac:dyDescent="0.3">
      <c r="A4" s="1" t="s">
        <v>76</v>
      </c>
      <c r="B4" s="1">
        <v>12</v>
      </c>
      <c r="C4" s="80">
        <v>1E-4</v>
      </c>
      <c r="D4" s="81">
        <v>0.16</v>
      </c>
      <c r="E4" s="82">
        <v>-3.5100000000000001E-3</v>
      </c>
      <c r="F4" s="83">
        <v>9.9999999999999995E-7</v>
      </c>
      <c r="G4" s="84">
        <v>0.37</v>
      </c>
      <c r="H4" s="84">
        <v>0.15</v>
      </c>
      <c r="I4" s="84">
        <v>1.0000000005635501E-3</v>
      </c>
      <c r="J4" s="84">
        <v>0.371</v>
      </c>
      <c r="K4" s="84">
        <v>0.15956873315363881</v>
      </c>
      <c r="L4" s="36">
        <v>0.5</v>
      </c>
      <c r="M4" s="80">
        <v>968.83255464235106</v>
      </c>
      <c r="N4" s="80">
        <v>968.83256171380992</v>
      </c>
      <c r="O4" s="80">
        <v>968.83255486677319</v>
      </c>
      <c r="P4" s="80">
        <v>968.83257215802644</v>
      </c>
      <c r="Q4" s="80">
        <v>968.83255775060127</v>
      </c>
      <c r="R4" s="80">
        <v>968.83259248363231</v>
      </c>
      <c r="S4" s="80">
        <v>154.5953833822835</v>
      </c>
      <c r="T4" s="80">
        <v>154.59538451066723</v>
      </c>
      <c r="U4" s="80">
        <v>154.59538341809426</v>
      </c>
      <c r="V4" s="80">
        <v>154.59538617723763</v>
      </c>
      <c r="W4" s="80">
        <v>154.59538387826305</v>
      </c>
      <c r="X4" s="80">
        <v>154.59538942056884</v>
      </c>
    </row>
    <row r="5" spans="1:24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x14ac:dyDescent="0.3">
      <c r="A7" s="85"/>
      <c r="B7" s="85"/>
      <c r="C7" s="86" t="s">
        <v>77</v>
      </c>
      <c r="D7" s="86" t="s">
        <v>78</v>
      </c>
      <c r="E7" s="86" t="s">
        <v>79</v>
      </c>
      <c r="F7" s="86" t="s">
        <v>80</v>
      </c>
      <c r="G7" s="86" t="s">
        <v>81</v>
      </c>
      <c r="H7" s="86" t="s">
        <v>82</v>
      </c>
      <c r="I7" s="86" t="s">
        <v>83</v>
      </c>
      <c r="J7" s="86" t="s">
        <v>84</v>
      </c>
      <c r="K7" s="86" t="s">
        <v>85</v>
      </c>
      <c r="L7" s="87" t="s">
        <v>86</v>
      </c>
      <c r="M7" s="86" t="s">
        <v>87</v>
      </c>
      <c r="N7" s="86" t="s">
        <v>88</v>
      </c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4" x14ac:dyDescent="0.3">
      <c r="A8" s="88"/>
      <c r="B8" s="88"/>
      <c r="C8" s="89">
        <v>24.413835261802429</v>
      </c>
      <c r="D8" s="89">
        <v>39.791253999424029</v>
      </c>
      <c r="E8" s="89">
        <v>76.091621424916354</v>
      </c>
      <c r="F8" s="89">
        <v>112.52767684268272</v>
      </c>
      <c r="G8" s="89">
        <v>130.36408866931808</v>
      </c>
      <c r="H8" s="89">
        <v>148.12403983263599</v>
      </c>
      <c r="I8" s="89">
        <v>142.83440931539567</v>
      </c>
      <c r="J8" s="89">
        <v>124.76124282393491</v>
      </c>
      <c r="K8" s="89">
        <v>87.770591143581598</v>
      </c>
      <c r="L8" s="89">
        <v>51.298362486819357</v>
      </c>
      <c r="M8" s="89">
        <v>24.145714838930161</v>
      </c>
      <c r="N8" s="89">
        <v>16.609456676460081</v>
      </c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58.2" thickBo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77" t="s">
        <v>56</v>
      </c>
      <c r="N10" s="77" t="s">
        <v>57</v>
      </c>
      <c r="O10" s="78" t="s">
        <v>58</v>
      </c>
      <c r="P10" s="78" t="s">
        <v>59</v>
      </c>
      <c r="Q10" s="78" t="s">
        <v>60</v>
      </c>
      <c r="R10" s="78" t="s">
        <v>61</v>
      </c>
      <c r="S10" s="77" t="s">
        <v>56</v>
      </c>
      <c r="T10" s="77" t="s">
        <v>57</v>
      </c>
      <c r="U10" s="78" t="s">
        <v>58</v>
      </c>
      <c r="V10" s="78" t="s">
        <v>59</v>
      </c>
      <c r="W10" s="78" t="s">
        <v>60</v>
      </c>
      <c r="X10" s="78" t="s">
        <v>61</v>
      </c>
    </row>
    <row r="11" spans="1:24" ht="57.6" x14ac:dyDescent="0.3">
      <c r="A11" s="79" t="s">
        <v>62</v>
      </c>
      <c r="B11" s="79" t="s">
        <v>63</v>
      </c>
      <c r="C11" s="79" t="s">
        <v>64</v>
      </c>
      <c r="D11" s="79" t="s">
        <v>65</v>
      </c>
      <c r="E11" s="79" t="s">
        <v>66</v>
      </c>
      <c r="F11" s="79" t="s">
        <v>67</v>
      </c>
      <c r="G11" s="79" t="s">
        <v>68</v>
      </c>
      <c r="H11" s="79" t="s">
        <v>69</v>
      </c>
      <c r="I11" s="79" t="s">
        <v>70</v>
      </c>
      <c r="J11" s="79" t="s">
        <v>71</v>
      </c>
      <c r="K11" s="79" t="s">
        <v>72</v>
      </c>
      <c r="L11" s="79" t="s">
        <v>73</v>
      </c>
      <c r="M11" s="79" t="s">
        <v>74</v>
      </c>
      <c r="N11" s="79" t="s">
        <v>74</v>
      </c>
      <c r="O11" s="79" t="s">
        <v>74</v>
      </c>
      <c r="P11" s="79" t="s">
        <v>74</v>
      </c>
      <c r="Q11" s="79" t="s">
        <v>74</v>
      </c>
      <c r="R11" s="79" t="s">
        <v>74</v>
      </c>
      <c r="S11" s="79" t="s">
        <v>75</v>
      </c>
      <c r="T11" s="79" t="s">
        <v>75</v>
      </c>
      <c r="U11" s="79" t="s">
        <v>75</v>
      </c>
      <c r="V11" s="79" t="s">
        <v>75</v>
      </c>
      <c r="W11" s="79" t="s">
        <v>75</v>
      </c>
      <c r="X11" s="79" t="s">
        <v>75</v>
      </c>
    </row>
    <row r="12" spans="1:24" x14ac:dyDescent="0.3">
      <c r="A12" s="1" t="s">
        <v>76</v>
      </c>
      <c r="B12" s="1">
        <v>12</v>
      </c>
      <c r="C12" s="80">
        <v>30</v>
      </c>
      <c r="D12" s="81">
        <v>0.16</v>
      </c>
      <c r="E12" s="82">
        <v>-3.5100000000000001E-3</v>
      </c>
      <c r="F12" s="83">
        <v>0.7</v>
      </c>
      <c r="G12" s="84">
        <v>0.37</v>
      </c>
      <c r="H12" s="84">
        <v>0.15</v>
      </c>
      <c r="I12" s="84">
        <v>0.32957060059975768</v>
      </c>
      <c r="J12" s="84">
        <v>0.65</v>
      </c>
      <c r="K12" s="84">
        <v>9.1076923076923083E-2</v>
      </c>
      <c r="L12" s="36">
        <v>0.5</v>
      </c>
      <c r="M12" s="80">
        <v>1182.0079755159186</v>
      </c>
      <c r="N12" s="80">
        <v>1187.5302794448451</v>
      </c>
      <c r="O12" s="80">
        <v>1185.1659473847053</v>
      </c>
      <c r="P12" s="80">
        <v>1194.9884510961979</v>
      </c>
      <c r="Q12" s="80">
        <v>1195.8049603300763</v>
      </c>
      <c r="R12" s="80">
        <v>1216.4393786374173</v>
      </c>
      <c r="S12" s="80">
        <v>107.6536494623729</v>
      </c>
      <c r="T12" s="80">
        <v>108.15660391251512</v>
      </c>
      <c r="U12" s="80">
        <v>107.94126782334547</v>
      </c>
      <c r="V12" s="80">
        <v>108.83587123829987</v>
      </c>
      <c r="W12" s="80">
        <v>108.91023638698542</v>
      </c>
      <c r="X12" s="80">
        <v>110.78955571590018</v>
      </c>
    </row>
    <row r="13" spans="1:24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x14ac:dyDescent="0.3">
      <c r="A15" s="85"/>
      <c r="B15" s="85"/>
      <c r="C15" s="90" t="s">
        <v>77</v>
      </c>
      <c r="D15" s="90" t="s">
        <v>78</v>
      </c>
      <c r="E15" s="90" t="s">
        <v>79</v>
      </c>
      <c r="F15" s="90" t="s">
        <v>80</v>
      </c>
      <c r="G15" s="90" t="s">
        <v>81</v>
      </c>
      <c r="H15" s="90" t="s">
        <v>82</v>
      </c>
      <c r="I15" s="90" t="s">
        <v>83</v>
      </c>
      <c r="J15" s="90" t="s">
        <v>84</v>
      </c>
      <c r="K15" s="90" t="s">
        <v>85</v>
      </c>
      <c r="L15" s="91" t="s">
        <v>86</v>
      </c>
      <c r="M15" s="90" t="s">
        <v>87</v>
      </c>
      <c r="N15" s="90" t="s">
        <v>88</v>
      </c>
      <c r="O15" s="85"/>
      <c r="P15" s="85"/>
      <c r="Q15" s="85"/>
      <c r="R15" s="85"/>
      <c r="S15" s="85"/>
      <c r="T15" s="85"/>
      <c r="U15" s="85"/>
      <c r="V15" s="85"/>
      <c r="W15" s="85"/>
      <c r="X15" s="85"/>
    </row>
    <row r="16" spans="1:24" x14ac:dyDescent="0.3">
      <c r="A16" s="88"/>
      <c r="B16" s="88"/>
      <c r="C16" s="89">
        <v>52.403068509642502</v>
      </c>
      <c r="D16" s="89">
        <v>71.442672981314686</v>
      </c>
      <c r="E16" s="89">
        <v>106.53076372559941</v>
      </c>
      <c r="F16" s="89">
        <v>132.5287436873945</v>
      </c>
      <c r="G16" s="89">
        <v>141.4868801622514</v>
      </c>
      <c r="H16" s="89">
        <v>151.35608923243606</v>
      </c>
      <c r="I16" s="89">
        <v>148.27054498900313</v>
      </c>
      <c r="J16" s="89">
        <v>139.87183485358614</v>
      </c>
      <c r="K16" s="89">
        <v>115.45117431140197</v>
      </c>
      <c r="L16" s="89">
        <v>85.940293196791103</v>
      </c>
      <c r="M16" s="89">
        <v>48.653722727632946</v>
      </c>
      <c r="N16" s="89">
        <v>35.3815511822852</v>
      </c>
      <c r="O16" s="88"/>
      <c r="P16" s="88">
        <f>SUM(C16:N16)</f>
        <v>1229.317339559339</v>
      </c>
      <c r="Q16" s="88"/>
      <c r="R16" s="36"/>
      <c r="S16" s="88"/>
      <c r="T16" s="88"/>
      <c r="U16" s="88"/>
      <c r="V16" s="88"/>
      <c r="W16" s="88"/>
      <c r="X16" s="88"/>
    </row>
    <row r="17" spans="1:24" x14ac:dyDescent="0.3">
      <c r="A17" s="1"/>
      <c r="B17" s="1"/>
      <c r="C17" s="83">
        <f>(C16-C8)/C8</f>
        <v>1.1464496646142142</v>
      </c>
      <c r="D17" s="83">
        <f t="shared" ref="D17:N17" si="0">(D16-D8)/D8</f>
        <v>0.79543657966518988</v>
      </c>
      <c r="E17" s="83">
        <f t="shared" si="0"/>
        <v>0.40003277273725829</v>
      </c>
      <c r="F17" s="83">
        <f t="shared" si="0"/>
        <v>0.17774353302142637</v>
      </c>
      <c r="G17" s="83">
        <f>(G16-G8)/G8</f>
        <v>8.5320977628642977E-2</v>
      </c>
      <c r="H17" s="83">
        <f t="shared" si="0"/>
        <v>2.1819884223060207E-2</v>
      </c>
      <c r="I17" s="83">
        <f t="shared" si="0"/>
        <v>3.8059006227300643E-2</v>
      </c>
      <c r="J17" s="83">
        <f t="shared" si="0"/>
        <v>0.12111607489335083</v>
      </c>
      <c r="K17" s="83">
        <f t="shared" si="0"/>
        <v>0.31537423648586843</v>
      </c>
      <c r="L17" s="83">
        <f t="shared" si="0"/>
        <v>0.67530285628264786</v>
      </c>
      <c r="M17" s="83">
        <f t="shared" si="0"/>
        <v>1.0150044449787214</v>
      </c>
      <c r="N17" s="83">
        <f t="shared" si="0"/>
        <v>1.1302052120964354</v>
      </c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x14ac:dyDescent="0.3">
      <c r="A18" s="73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5"/>
    </row>
    <row r="19" spans="1:24" x14ac:dyDescent="0.3">
      <c r="A19" s="73"/>
      <c r="B19" s="74"/>
      <c r="C19" s="93">
        <f>C16/$P$16</f>
        <v>4.2627779519018992E-2</v>
      </c>
      <c r="D19" s="93">
        <f t="shared" ref="D19:M19" si="1">D16/$P$16</f>
        <v>5.811572869127838E-2</v>
      </c>
      <c r="E19" s="93">
        <f t="shared" si="1"/>
        <v>8.665847320089573E-2</v>
      </c>
      <c r="F19" s="93">
        <f t="shared" si="1"/>
        <v>0.10780677976518313</v>
      </c>
      <c r="G19" s="93">
        <f t="shared" si="1"/>
        <v>0.11509386194208306</v>
      </c>
      <c r="H19" s="93">
        <f t="shared" si="1"/>
        <v>0.12312206487438887</v>
      </c>
      <c r="I19" s="93">
        <f t="shared" si="1"/>
        <v>0.12061209926653453</v>
      </c>
      <c r="J19" s="93">
        <f>J16/$P$16</f>
        <v>0.11378008781989896</v>
      </c>
      <c r="K19" s="93">
        <f>K16/$P$16</f>
        <v>9.3914866890909221E-2</v>
      </c>
      <c r="L19" s="93">
        <f t="shared" si="1"/>
        <v>6.9908957135183053E-2</v>
      </c>
      <c r="M19" s="93">
        <f t="shared" si="1"/>
        <v>3.9577838172422879E-2</v>
      </c>
      <c r="N19" s="93">
        <f>N16/$P$16</f>
        <v>2.878146272220326E-2</v>
      </c>
      <c r="O19" s="74"/>
      <c r="P19" s="74"/>
      <c r="Q19" s="75"/>
    </row>
    <row r="20" spans="1:24" x14ac:dyDescent="0.3">
      <c r="A20" s="73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5"/>
    </row>
    <row r="21" spans="1:24" x14ac:dyDescent="0.3">
      <c r="A21" s="73"/>
      <c r="B21" s="74"/>
      <c r="C21" s="74"/>
      <c r="D21" s="74">
        <v>68.155804446192306</v>
      </c>
      <c r="E21" s="74">
        <v>125.89860543679663</v>
      </c>
      <c r="F21" s="74">
        <v>150.99120272507665</v>
      </c>
      <c r="G21" s="74">
        <v>132.24013338331318</v>
      </c>
      <c r="H21" s="74">
        <v>141.15293339737994</v>
      </c>
      <c r="I21" s="74">
        <v>147.42077748134633</v>
      </c>
      <c r="J21" s="74">
        <v>153.68862156531301</v>
      </c>
      <c r="K21" s="97">
        <f ca="1">'Gain productible Mensuel'!N10</f>
        <v>0.3090081838040335</v>
      </c>
      <c r="L21" s="97">
        <f ca="1">'Gain productible Mensuel'!N11</f>
        <v>0.41195591967160167</v>
      </c>
      <c r="M21" s="74"/>
      <c r="N21" s="74"/>
      <c r="O21" s="74"/>
      <c r="P21" s="74"/>
      <c r="Q21" s="75"/>
    </row>
    <row r="22" spans="1:24" x14ac:dyDescent="0.3">
      <c r="A22" s="73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5"/>
    </row>
    <row r="23" spans="1:24" x14ac:dyDescent="0.3">
      <c r="A23" s="73"/>
      <c r="B23" s="74"/>
      <c r="C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5"/>
    </row>
    <row r="24" spans="1:24" x14ac:dyDescent="0.3">
      <c r="A24" s="73"/>
      <c r="B24" s="74"/>
      <c r="C24" s="74"/>
      <c r="D24" s="76">
        <f>SUM(D21:J21)/SUM(D16:J16)</f>
        <v>1.0314760979499387</v>
      </c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5"/>
    </row>
    <row r="25" spans="1:24" x14ac:dyDescent="0.3">
      <c r="A25" s="73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5"/>
    </row>
    <row r="26" spans="1:24" x14ac:dyDescent="0.3">
      <c r="A26" s="73"/>
      <c r="B26" s="74"/>
      <c r="C26" s="74"/>
      <c r="D26" s="74">
        <f>SUM(C8:N8)</f>
        <v>978.73229331590142</v>
      </c>
      <c r="E26" s="74"/>
      <c r="F26" s="74">
        <f>D27/D26</f>
        <v>1.2560302219051815</v>
      </c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5"/>
    </row>
    <row r="27" spans="1:24" x14ac:dyDescent="0.3">
      <c r="A27" s="73"/>
      <c r="B27" s="74"/>
      <c r="C27" s="74"/>
      <c r="D27" s="94">
        <f>SUM(C16:N16)</f>
        <v>1229.317339559339</v>
      </c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5"/>
    </row>
    <row r="28" spans="1:24" x14ac:dyDescent="0.3">
      <c r="A28" s="73"/>
      <c r="Q28" t="s">
        <v>89</v>
      </c>
      <c r="R28" t="s">
        <v>90</v>
      </c>
    </row>
    <row r="29" spans="1:24" x14ac:dyDescent="0.3">
      <c r="A29" s="92" t="str">
        <f>C15</f>
        <v>Jan.</v>
      </c>
      <c r="Q29" s="76">
        <f>C17</f>
        <v>1.1464496646142142</v>
      </c>
      <c r="R29" s="76">
        <f ca="1">'Gain productible Mensuel'!P14</f>
        <v>0.80614887507055699</v>
      </c>
    </row>
    <row r="30" spans="1:24" x14ac:dyDescent="0.3">
      <c r="A30" s="92" t="str">
        <f>D15</f>
        <v>Feb.</v>
      </c>
      <c r="Q30" s="76">
        <f>D17</f>
        <v>0.79543657966518988</v>
      </c>
      <c r="R30" s="76">
        <f ca="1">'Gain productible Mensuel'!P3</f>
        <v>1.0587768342295603</v>
      </c>
    </row>
    <row r="31" spans="1:24" x14ac:dyDescent="0.3">
      <c r="A31" s="92" t="str">
        <f>E15</f>
        <v>Mar.</v>
      </c>
      <c r="Q31" s="76">
        <f>E17</f>
        <v>0.40003277273725829</v>
      </c>
      <c r="R31" s="76">
        <f ca="1">'Gain productible Mensuel'!P4</f>
        <v>0.68291981437665727</v>
      </c>
    </row>
    <row r="32" spans="1:24" x14ac:dyDescent="0.3">
      <c r="A32" s="92" t="str">
        <f>F15</f>
        <v>Apr.</v>
      </c>
      <c r="Q32" s="76">
        <f>F17</f>
        <v>0.17774353302142637</v>
      </c>
      <c r="R32" s="76">
        <f ca="1">'Gain productible Mensuel'!P5</f>
        <v>0.6205901841461946</v>
      </c>
    </row>
    <row r="33" spans="1:18" x14ac:dyDescent="0.3">
      <c r="A33" s="92" t="s">
        <v>81</v>
      </c>
      <c r="Q33" s="76">
        <f>G17</f>
        <v>8.5320977628642977E-2</v>
      </c>
      <c r="R33" s="76">
        <f ca="1">'Gain productible Mensuel'!P6</f>
        <v>0.32156871707113682</v>
      </c>
    </row>
    <row r="34" spans="1:18" x14ac:dyDescent="0.3">
      <c r="A34" s="92" t="str">
        <f>H15</f>
        <v>Jun.</v>
      </c>
      <c r="Q34" s="76">
        <f>H17</f>
        <v>2.1819884223060207E-2</v>
      </c>
      <c r="R34" s="76">
        <f ca="1">'Gain productible Mensuel'!P7</f>
        <v>0.22340025594311871</v>
      </c>
    </row>
    <row r="35" spans="1:18" x14ac:dyDescent="0.3">
      <c r="A35" s="92" t="str">
        <f>I15</f>
        <v>Jul.</v>
      </c>
      <c r="Q35" s="76">
        <f>I17</f>
        <v>3.8059006227300643E-2</v>
      </c>
      <c r="R35" s="76">
        <f ca="1">'Gain productible Mensuel'!P8</f>
        <v>0.20208760727291708</v>
      </c>
    </row>
    <row r="36" spans="1:18" x14ac:dyDescent="0.3">
      <c r="A36" s="92" t="str">
        <f>J15</f>
        <v>Aug.</v>
      </c>
      <c r="Q36" s="76">
        <f>J17</f>
        <v>0.12111607489335083</v>
      </c>
      <c r="R36" s="76">
        <f ca="1">'Gain productible Mensuel'!P9</f>
        <v>0.30685702031554951</v>
      </c>
    </row>
    <row r="37" spans="1:18" x14ac:dyDescent="0.3">
      <c r="A37" s="92" t="str">
        <f>K15</f>
        <v>Sep.</v>
      </c>
      <c r="Q37" s="76">
        <f>K17</f>
        <v>0.31537423648586843</v>
      </c>
      <c r="R37" s="76">
        <f ca="1">'Gain productible Mensuel'!P10</f>
        <v>0.3090081838040335</v>
      </c>
    </row>
    <row r="38" spans="1:18" x14ac:dyDescent="0.3">
      <c r="A38" s="73" t="str">
        <f>L15</f>
        <v>Oct.</v>
      </c>
      <c r="Q38" s="76">
        <f>L17</f>
        <v>0.67530285628264786</v>
      </c>
      <c r="R38" s="76">
        <f ca="1">'Gain productible Mensuel'!P11</f>
        <v>0.41195591967160167</v>
      </c>
    </row>
    <row r="39" spans="1:18" x14ac:dyDescent="0.3">
      <c r="A39" s="92" t="str">
        <f>M15</f>
        <v>Nov.</v>
      </c>
      <c r="Q39" s="76">
        <f>M17</f>
        <v>1.0150044449787214</v>
      </c>
      <c r="R39" s="76">
        <f ca="1">'Gain productible Mensuel'!P12</f>
        <v>0.59730385516853879</v>
      </c>
    </row>
    <row r="40" spans="1:18" x14ac:dyDescent="0.3">
      <c r="A40" s="92" t="str">
        <f>N15</f>
        <v>Dec.</v>
      </c>
      <c r="Q40" s="76">
        <f>N17</f>
        <v>1.1302052120964354</v>
      </c>
      <c r="R40" s="76">
        <f ca="1">'Gain productible Mensuel'!P13</f>
        <v>0.67819842417775733</v>
      </c>
    </row>
    <row r="43" spans="1:18" x14ac:dyDescent="0.3">
      <c r="Q43" t="s">
        <v>54</v>
      </c>
      <c r="R43" t="s">
        <v>55</v>
      </c>
    </row>
    <row r="44" spans="1:18" x14ac:dyDescent="0.3">
      <c r="A44" s="92" t="str">
        <f>A29</f>
        <v>Jan.</v>
      </c>
      <c r="Q44" s="76" t="e">
        <f>(Q16-Q2)/Q2</f>
        <v>#VALUE!</v>
      </c>
    </row>
    <row r="45" spans="1:18" x14ac:dyDescent="0.3">
      <c r="A45" s="92" t="str">
        <f t="shared" ref="A45:A55" si="2">A30</f>
        <v>Feb.</v>
      </c>
      <c r="Q45" s="76" t="e">
        <f t="shared" ref="Q45:Q55" si="3">(Q17-Q3)/Q3</f>
        <v>#VALUE!</v>
      </c>
      <c r="R45" s="76">
        <f ca="1">'Gain productible Mensuel'!P3</f>
        <v>1.0587768342295603</v>
      </c>
    </row>
    <row r="46" spans="1:18" x14ac:dyDescent="0.3">
      <c r="A46" s="92" t="str">
        <f t="shared" si="2"/>
        <v>Mar.</v>
      </c>
      <c r="Q46" s="76">
        <f t="shared" si="3"/>
        <v>-1</v>
      </c>
      <c r="R46" s="76">
        <f ca="1">'Gain productible Mensuel'!P4</f>
        <v>0.68291981437665727</v>
      </c>
    </row>
    <row r="47" spans="1:18" x14ac:dyDescent="0.3">
      <c r="A47" s="92" t="str">
        <f t="shared" si="2"/>
        <v>Apr.</v>
      </c>
      <c r="Q47" s="76" t="e">
        <f t="shared" si="3"/>
        <v>#DIV/0!</v>
      </c>
      <c r="R47" s="76">
        <f ca="1">'Gain productible Mensuel'!P5</f>
        <v>0.6205901841461946</v>
      </c>
    </row>
    <row r="48" spans="1:18" x14ac:dyDescent="0.3">
      <c r="A48" s="92" t="str">
        <f t="shared" si="2"/>
        <v>May</v>
      </c>
      <c r="Q48" s="76" t="e">
        <f t="shared" si="3"/>
        <v>#DIV/0!</v>
      </c>
      <c r="R48" s="76"/>
    </row>
    <row r="49" spans="1:17" x14ac:dyDescent="0.3">
      <c r="A49" s="92" t="str">
        <f t="shared" si="2"/>
        <v>Jun.</v>
      </c>
      <c r="Q49" s="76" t="e">
        <f t="shared" si="3"/>
        <v>#DIV/0!</v>
      </c>
    </row>
    <row r="50" spans="1:17" x14ac:dyDescent="0.3">
      <c r="A50" s="92" t="str">
        <f t="shared" si="2"/>
        <v>Jul.</v>
      </c>
      <c r="Q50" s="76" t="e">
        <f t="shared" si="3"/>
        <v>#DIV/0!</v>
      </c>
    </row>
    <row r="51" spans="1:17" x14ac:dyDescent="0.3">
      <c r="A51" s="92" t="str">
        <f t="shared" si="2"/>
        <v>Aug.</v>
      </c>
      <c r="Q51" s="76" t="e">
        <f t="shared" si="3"/>
        <v>#DIV/0!</v>
      </c>
    </row>
    <row r="52" spans="1:17" x14ac:dyDescent="0.3">
      <c r="A52" s="92" t="str">
        <f t="shared" si="2"/>
        <v>Sep.</v>
      </c>
      <c r="Q52" s="76" t="e">
        <f t="shared" si="3"/>
        <v>#VALUE!</v>
      </c>
    </row>
    <row r="53" spans="1:17" x14ac:dyDescent="0.3">
      <c r="A53" s="92" t="str">
        <f t="shared" si="2"/>
        <v>Oct.</v>
      </c>
      <c r="Q53" s="76" t="e">
        <f t="shared" si="3"/>
        <v>#VALUE!</v>
      </c>
    </row>
    <row r="54" spans="1:17" x14ac:dyDescent="0.3">
      <c r="A54" s="92" t="str">
        <f t="shared" si="2"/>
        <v>Nov.</v>
      </c>
      <c r="Q54" s="76">
        <f t="shared" si="3"/>
        <v>-1</v>
      </c>
    </row>
    <row r="55" spans="1:17" x14ac:dyDescent="0.3">
      <c r="A55" s="92" t="str">
        <f t="shared" si="2"/>
        <v>Dec.</v>
      </c>
      <c r="Q55" s="76" t="e">
        <f t="shared" si="3"/>
        <v>#DIV/0!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8</vt:i4>
      </vt:variant>
    </vt:vector>
  </HeadingPairs>
  <TitlesOfParts>
    <vt:vector size="13" baseType="lpstr">
      <vt:lpstr>Variables</vt:lpstr>
      <vt:lpstr>Gain productible Journalier</vt:lpstr>
      <vt:lpstr>Gain productible Mensuel</vt:lpstr>
      <vt:lpstr>Photos centrales</vt:lpstr>
      <vt:lpstr>Théorique vs Expérimental</vt:lpstr>
      <vt:lpstr>PRAC</vt:lpstr>
      <vt:lpstr>PRBE</vt:lpstr>
      <vt:lpstr>PRDEPI</vt:lpstr>
      <vt:lpstr>SAC</vt:lpstr>
      <vt:lpstr>SB</vt:lpstr>
      <vt:lpstr>SE</vt:lpstr>
      <vt:lpstr>SP</vt:lpstr>
      <vt:lpstr>SPE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Regrettier</dc:creator>
  <cp:lastModifiedBy>jonathan.friedmann</cp:lastModifiedBy>
  <dcterms:created xsi:type="dcterms:W3CDTF">2021-02-03T07:36:33Z</dcterms:created>
  <dcterms:modified xsi:type="dcterms:W3CDTF">2023-08-17T14:34:55Z</dcterms:modified>
</cp:coreProperties>
</file>